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055" windowHeight="7365" tabRatio="697" activeTab="0"/>
  </bookViews>
  <sheets>
    <sheet name="SAISIE" sheetId="1" r:id="rId1"/>
    <sheet name="BULLETIN DESALAIRE" sheetId="2" r:id="rId2"/>
    <sheet name="PRIMES" sheetId="3" r:id="rId3"/>
    <sheet name="INDICE" sheetId="4" r:id="rId4"/>
    <sheet name="TABLE" sheetId="5" r:id="rId5"/>
  </sheets>
  <definedNames>
    <definedName name="AR">'TABLE'!$D$22:$E$32</definedName>
    <definedName name="ARP1">'TABLE'!$D$43:$E$45</definedName>
    <definedName name="ARP2">'TABLE'!$D$35:$E$40</definedName>
    <definedName name="AST1">'TABLE'!$D$10:$E$19</definedName>
    <definedName name="AST2">'TABLE'!$D$3:$E$7</definedName>
    <definedName name="grade">'TABLE'!$A$3:$B$7</definedName>
    <definedName name="indice">#REF!</definedName>
    <definedName name="plancher">'INDICE'!$G$2</definedName>
    <definedName name="point">'INDICE'!$C$2</definedName>
    <definedName name="quotité">'TABLE'!$A$19:$B$24</definedName>
    <definedName name="SFT">'INDICE'!$F$5:$G$15</definedName>
    <definedName name="temps_partiel">'TABLE'!$A$11:$B$16</definedName>
  </definedNames>
  <calcPr fullCalcOnLoad="1"/>
</workbook>
</file>

<file path=xl/comments1.xml><?xml version="1.0" encoding="utf-8"?>
<comments xmlns="http://schemas.openxmlformats.org/spreadsheetml/2006/main">
  <authors>
    <author>Tresor Public</author>
  </authors>
  <commentList>
    <comment ref="B9" authorId="0">
      <text>
        <r>
          <rPr>
            <b/>
            <sz val="8"/>
            <color indexed="12"/>
            <rFont val="Tahoma"/>
            <family val="2"/>
          </rPr>
          <t xml:space="preserve">Si droit à NBI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
Si pas de NBI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color indexed="12"/>
            <rFont val="Tahoma"/>
            <family val="2"/>
          </rPr>
          <t>Pas d'IR :</t>
        </r>
        <r>
          <rPr>
            <b/>
            <sz val="8"/>
            <rFont val="Tahoma"/>
            <family val="0"/>
          </rPr>
          <t xml:space="preserve">  </t>
        </r>
        <r>
          <rPr>
            <b/>
            <sz val="8"/>
            <color indexed="10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IR = 1% :</t>
        </r>
        <r>
          <rPr>
            <b/>
            <sz val="8"/>
            <rFont val="Tahoma"/>
            <family val="0"/>
          </rPr>
          <t xml:space="preserve"> 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IR = 3% :</t>
        </r>
        <r>
          <rPr>
            <b/>
            <sz val="8"/>
            <rFont val="Tahoma"/>
            <family val="0"/>
          </rPr>
          <t xml:space="preserve">  </t>
        </r>
        <r>
          <rPr>
            <b/>
            <sz val="8"/>
            <color indexed="10"/>
            <rFont val="Tahoma"/>
            <family val="2"/>
          </rPr>
          <t xml:space="preserve"> 2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color indexed="12"/>
            <rFont val="Tahoma"/>
            <family val="2"/>
          </rPr>
          <t>ARP1 :</t>
        </r>
        <r>
          <rPr>
            <b/>
            <sz val="8"/>
            <rFont val="Tahoma"/>
            <family val="2"/>
          </rPr>
          <t xml:space="preserve">  </t>
        </r>
        <r>
          <rPr>
            <b/>
            <sz val="8"/>
            <color indexed="10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ARP2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3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AR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AST1 :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AST2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0</t>
        </r>
      </text>
    </comment>
    <comment ref="B8" authorId="0">
      <text>
        <r>
          <rPr>
            <b/>
            <sz val="8"/>
            <color indexed="12"/>
            <rFont val="Tahoma"/>
            <family val="2"/>
          </rPr>
          <t>Nombre d'enfants à charge de  - de 20 ans.</t>
        </r>
      </text>
    </comment>
    <comment ref="B10" authorId="0">
      <text>
        <r>
          <rPr>
            <b/>
            <u val="single"/>
            <sz val="8"/>
            <color indexed="12"/>
            <rFont val="Tahoma"/>
            <family val="2"/>
          </rPr>
          <t>Temps de travail 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100% :</t>
        </r>
        <r>
          <rPr>
            <b/>
            <sz val="8"/>
            <rFont val="Tahoma"/>
            <family val="2"/>
          </rPr>
          <t xml:space="preserve"> 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90%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80% :</t>
        </r>
        <r>
          <rPr>
            <b/>
            <sz val="8"/>
            <rFont val="Tahoma"/>
            <family val="2"/>
          </rPr>
          <t xml:space="preserve">  </t>
        </r>
        <r>
          <rPr>
            <b/>
            <sz val="8"/>
            <color indexed="10"/>
            <rFont val="Tahoma"/>
            <family val="2"/>
          </rPr>
          <t>3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70% :</t>
        </r>
        <r>
          <rPr>
            <b/>
            <sz val="8"/>
            <rFont val="Tahoma"/>
            <family val="2"/>
          </rPr>
          <t xml:space="preserve">  </t>
        </r>
        <r>
          <rPr>
            <b/>
            <sz val="8"/>
            <color indexed="10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60%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50%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6</t>
        </r>
      </text>
    </comment>
    <comment ref="B5" authorId="0">
      <text>
        <r>
          <rPr>
            <b/>
            <sz val="8"/>
            <color indexed="12"/>
            <rFont val="Tahoma"/>
            <family val="2"/>
          </rPr>
          <t>Saisir échelon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color indexed="12"/>
            <rFont val="Tahoma"/>
            <family val="2"/>
          </rPr>
          <t>Indiquer le montant total des diverses retenues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u val="single"/>
            <sz val="8"/>
            <color indexed="12"/>
            <rFont val="Tahoma"/>
            <family val="2"/>
          </rPr>
          <t xml:space="preserve">COTISATION MUTUELLE
</t>
        </r>
        <r>
          <rPr>
            <b/>
            <sz val="8"/>
            <color indexed="12"/>
            <rFont val="Tahoma"/>
            <family val="2"/>
          </rPr>
          <t>Saisir le montant total des cotisations "mutuelle", y compris la branche générale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<sst xmlns="http://schemas.openxmlformats.org/spreadsheetml/2006/main" count="72" uniqueCount="65">
  <si>
    <t>TEMPS PARTIEL:</t>
  </si>
  <si>
    <t>SALAIRE BRUT:</t>
  </si>
  <si>
    <t>SFT:</t>
  </si>
  <si>
    <t>PENSION CIVILE (7,85%)</t>
  </si>
  <si>
    <t>PENSION CIVILE NBI (7,85%)</t>
  </si>
  <si>
    <t>TOTAL A:</t>
  </si>
  <si>
    <t>NBI   (10pts):</t>
  </si>
  <si>
    <t>CSG (2,4%)</t>
  </si>
  <si>
    <t>ENFANTS:</t>
  </si>
  <si>
    <t>CSG (5,1%)</t>
  </si>
  <si>
    <t>RDS (0,5%)</t>
  </si>
  <si>
    <t>CONT. SOLIDARITE (1%)</t>
  </si>
  <si>
    <t>INDEMNITE RESIDENCE</t>
  </si>
  <si>
    <t>NBI:</t>
  </si>
  <si>
    <t>TOTAL C:</t>
  </si>
  <si>
    <t>MUTUELLE</t>
  </si>
  <si>
    <t>TOTAL D:</t>
  </si>
  <si>
    <t>TOTAL NET:</t>
  </si>
  <si>
    <t>MUTUELLE:</t>
  </si>
  <si>
    <t>PRIME RENDEMENT :</t>
  </si>
  <si>
    <t>MONTANT IMPOSABLE:</t>
  </si>
  <si>
    <t>VALEUR DU POINT AU 01/12/2002:</t>
  </si>
  <si>
    <t>GRADE</t>
  </si>
  <si>
    <t>ECHELON:</t>
  </si>
  <si>
    <t>IND. 321 (IMT):</t>
  </si>
  <si>
    <t>IND. RESIDENCE:</t>
  </si>
  <si>
    <t>I.A.T.:</t>
  </si>
  <si>
    <t>GRADE:</t>
  </si>
  <si>
    <t>INDICE  :</t>
  </si>
  <si>
    <t>IMT  ( Ind. 321 ):</t>
  </si>
  <si>
    <t>cotisation PC IMT</t>
  </si>
  <si>
    <t>PRIME DE RENDEMENT</t>
  </si>
  <si>
    <t>ARP:</t>
  </si>
  <si>
    <t>AS:</t>
  </si>
  <si>
    <t>AR:</t>
  </si>
  <si>
    <t>PENSION CIVILE IMT</t>
  </si>
  <si>
    <t>TOTAL E:</t>
  </si>
  <si>
    <t>TOTAL C+D+E:</t>
  </si>
  <si>
    <t>SAISIE DES ELEMENTS DE CALCUL DU SALAIRE</t>
  </si>
  <si>
    <t>DIVERS</t>
  </si>
  <si>
    <t>DIVERS ( Tickets, Parking, etc..)</t>
  </si>
  <si>
    <t>AR</t>
  </si>
  <si>
    <t>ARP2</t>
  </si>
  <si>
    <t>ARP1</t>
  </si>
  <si>
    <t>grade</t>
  </si>
  <si>
    <t>AST2</t>
  </si>
  <si>
    <t>AST1</t>
  </si>
  <si>
    <t>temps partiel</t>
  </si>
  <si>
    <t>quotité</t>
  </si>
  <si>
    <t>100%</t>
  </si>
  <si>
    <t>90%</t>
  </si>
  <si>
    <t>80%</t>
  </si>
  <si>
    <t>70%</t>
  </si>
  <si>
    <t>60%</t>
  </si>
  <si>
    <t>50%</t>
  </si>
  <si>
    <t>SFT</t>
  </si>
  <si>
    <t>4</t>
  </si>
  <si>
    <t>Indice plancher SFT :</t>
  </si>
  <si>
    <t>VALEUR DU POINT AU 01/01/2004:</t>
  </si>
  <si>
    <t>mensuel</t>
  </si>
  <si>
    <t>annuel</t>
  </si>
  <si>
    <t>VALEUR DU POINT AU 01/02/2005:</t>
  </si>
  <si>
    <t>Régime Additionnel F.P.</t>
  </si>
  <si>
    <t>VALEUR DU POINT AU 01/07/2005:</t>
  </si>
  <si>
    <t>BULLETIN DE SALAIRE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</si>
</sst>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00000000000"/>
    <numFmt numFmtId="173" formatCode="#,##0.00000"/>
    <numFmt numFmtId="174" formatCode="0.00000%"/>
    <numFmt numFmtId="175" formatCode="#,##0.00\ _F"/>
    <numFmt numFmtId="176" formatCode="0.00000"/>
    <numFmt numFmtId="177" formatCode="#,##0_ ;[Red]\-#,##0\ "/>
    <numFmt numFmtId="178" formatCode="#,##0.00_ ;[Red]\-#,##0.00\ "/>
    <numFmt numFmtId="179" formatCode="#,##0.0"/>
    <numFmt numFmtId="180" formatCode="#,##0.000"/>
    <numFmt numFmtId="181" formatCode="#,##0.0000"/>
    <numFmt numFmtId="182" formatCode="0.000"/>
    <numFmt numFmtId="183" formatCode="0.0000"/>
    <numFmt numFmtId="184" formatCode="0.000000"/>
    <numFmt numFmtId="185" formatCode="#,##0.00\ &quot;€&quot;"/>
    <numFmt numFmtId="186" formatCode="0.00000000"/>
  </numFmts>
  <fonts count="3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u val="single"/>
      <sz val="8"/>
      <color indexed="12"/>
      <name val="Tahoma"/>
      <family val="2"/>
    </font>
    <font>
      <b/>
      <u val="single"/>
      <sz val="12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22"/>
      <name val="Arial"/>
      <family val="2"/>
    </font>
    <font>
      <sz val="10"/>
      <color indexed="12"/>
      <name val="Bookman Old Style"/>
      <family val="1"/>
    </font>
    <font>
      <b/>
      <u val="single"/>
      <sz val="9"/>
      <color indexed="12"/>
      <name val="Bookman Old Style"/>
      <family val="1"/>
    </font>
    <font>
      <u val="single"/>
      <sz val="10"/>
      <color indexed="12"/>
      <name val="Bookman Old Style"/>
      <family val="1"/>
    </font>
    <font>
      <b/>
      <sz val="9"/>
      <color indexed="12"/>
      <name val="Bookman Old Style"/>
      <family val="1"/>
    </font>
    <font>
      <b/>
      <i/>
      <u val="single"/>
      <sz val="10"/>
      <color indexed="12"/>
      <name val="Bookman Old Style"/>
      <family val="1"/>
    </font>
    <font>
      <b/>
      <u val="single"/>
      <sz val="8"/>
      <color indexed="12"/>
      <name val="Bookman Old Style"/>
      <family val="1"/>
    </font>
    <font>
      <sz val="10"/>
      <name val="Bookman Old Style"/>
      <family val="1"/>
    </font>
    <font>
      <b/>
      <u val="single"/>
      <sz val="12"/>
      <color indexed="12"/>
      <name val="Bookman Old Style"/>
      <family val="1"/>
    </font>
    <font>
      <b/>
      <sz val="11"/>
      <color indexed="53"/>
      <name val="Arial Baltic"/>
      <family val="2"/>
    </font>
    <font>
      <b/>
      <sz val="10"/>
      <color indexed="53"/>
      <name val="Arial Baltic"/>
      <family val="2"/>
    </font>
    <font>
      <sz val="10"/>
      <color indexed="53"/>
      <name val="Arial Baltic"/>
      <family val="2"/>
    </font>
    <font>
      <sz val="10"/>
      <name val="Arial Baltic"/>
      <family val="2"/>
    </font>
    <font>
      <b/>
      <sz val="12"/>
      <color indexed="53"/>
      <name val="Arial Baltic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84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center"/>
    </xf>
    <xf numFmtId="176" fontId="0" fillId="0" borderId="3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0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176" fontId="0" fillId="4" borderId="0" xfId="0" applyNumberForma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1" fontId="0" fillId="4" borderId="0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1" fillId="3" borderId="16" xfId="0" applyFont="1" applyFill="1" applyBorder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76" fontId="19" fillId="4" borderId="0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" fontId="0" fillId="0" borderId="15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4" fillId="3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5" fillId="3" borderId="11" xfId="0" applyFont="1" applyFill="1" applyBorder="1" applyAlignment="1">
      <alignment horizontal="right"/>
    </xf>
    <xf numFmtId="0" fontId="26" fillId="0" borderId="11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Alignment="1">
      <alignment/>
    </xf>
    <xf numFmtId="0" fontId="27" fillId="3" borderId="10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84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1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4" fillId="3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/>
    </xf>
    <xf numFmtId="4" fontId="28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4" fontId="30" fillId="0" borderId="15" xfId="0" applyNumberFormat="1" applyFont="1" applyBorder="1" applyAlignment="1">
      <alignment/>
    </xf>
    <xf numFmtId="4" fontId="30" fillId="0" borderId="15" xfId="0" applyNumberFormat="1" applyFont="1" applyBorder="1" applyAlignment="1">
      <alignment horizontal="center"/>
    </xf>
    <xf numFmtId="4" fontId="29" fillId="0" borderId="15" xfId="0" applyNumberFormat="1" applyFont="1" applyBorder="1" applyAlignment="1">
      <alignment horizontal="center"/>
    </xf>
    <xf numFmtId="4" fontId="29" fillId="3" borderId="15" xfId="0" applyNumberFormat="1" applyFont="1" applyFill="1" applyBorder="1" applyAlignment="1">
      <alignment horizontal="center"/>
    </xf>
    <xf numFmtId="4" fontId="31" fillId="0" borderId="15" xfId="0" applyNumberFormat="1" applyFont="1" applyBorder="1" applyAlignment="1">
      <alignment/>
    </xf>
    <xf numFmtId="4" fontId="31" fillId="0" borderId="18" xfId="0" applyNumberFormat="1" applyFont="1" applyBorder="1" applyAlignment="1">
      <alignment/>
    </xf>
    <xf numFmtId="3" fontId="31" fillId="0" borderId="19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4" fontId="32" fillId="5" borderId="20" xfId="0" applyNumberFormat="1" applyFont="1" applyFill="1" applyBorder="1" applyAlignment="1">
      <alignment horizontal="center"/>
    </xf>
    <xf numFmtId="1" fontId="30" fillId="0" borderId="15" xfId="0" applyNumberFormat="1" applyFont="1" applyBorder="1" applyAlignment="1">
      <alignment horizontal="center"/>
    </xf>
    <xf numFmtId="4" fontId="3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27.00390625" style="15" customWidth="1"/>
    <col min="2" max="16384" width="11.421875" style="15" customWidth="1"/>
  </cols>
  <sheetData>
    <row r="1" spans="1:6" ht="15.75">
      <c r="A1" s="41" t="s">
        <v>38</v>
      </c>
      <c r="B1" s="42"/>
      <c r="C1" s="42"/>
      <c r="D1" s="42"/>
      <c r="E1" s="56"/>
      <c r="F1" s="57"/>
    </row>
    <row r="2" spans="1:6" ht="13.5" thickBot="1">
      <c r="A2" s="62"/>
      <c r="B2" s="62"/>
      <c r="C2" s="47"/>
      <c r="D2" s="47"/>
      <c r="E2" s="47"/>
      <c r="F2" s="48"/>
    </row>
    <row r="3" spans="1:6" ht="19.5" customHeight="1" thickBot="1">
      <c r="A3" s="59" t="s">
        <v>22</v>
      </c>
      <c r="B3" s="60">
        <v>1</v>
      </c>
      <c r="C3" s="47"/>
      <c r="D3" s="47"/>
      <c r="E3" s="43" t="str">
        <f>LOOKUP(B3,grade)</f>
        <v>AST1</v>
      </c>
      <c r="F3" s="48"/>
    </row>
    <row r="4" spans="1:6" ht="19.5" customHeight="1" thickBot="1">
      <c r="A4" s="58"/>
      <c r="B4" s="47"/>
      <c r="C4" s="47"/>
      <c r="D4" s="47"/>
      <c r="E4" s="47"/>
      <c r="F4" s="48"/>
    </row>
    <row r="5" spans="1:6" ht="19.5" customHeight="1" thickBot="1">
      <c r="A5" s="38" t="s">
        <v>23</v>
      </c>
      <c r="B5" s="28">
        <v>2</v>
      </c>
      <c r="C5" s="47"/>
      <c r="D5" s="47"/>
      <c r="E5" s="40" t="s">
        <v>28</v>
      </c>
      <c r="F5" s="44">
        <f>IF(B3=4,LOOKUP(B5,ARP1),IF(B3=3,LOOKUP(B5,ARP2),IF(B3=2,LOOKUP(B5,AR),IF(B3=1,LOOKUP(B5,AST1),LOOKUP(B5,AST2)))))</f>
        <v>265</v>
      </c>
    </row>
    <row r="6" spans="1:6" ht="19.5" customHeight="1">
      <c r="A6" s="58"/>
      <c r="B6" s="47"/>
      <c r="C6" s="47"/>
      <c r="D6" s="47"/>
      <c r="E6" s="47"/>
      <c r="F6" s="48"/>
    </row>
    <row r="7" spans="1:6" ht="19.5" customHeight="1">
      <c r="A7" s="39" t="s">
        <v>12</v>
      </c>
      <c r="B7" s="35">
        <v>0</v>
      </c>
      <c r="C7" s="47"/>
      <c r="D7" s="47"/>
      <c r="E7" s="47"/>
      <c r="F7" s="48"/>
    </row>
    <row r="8" spans="1:6" ht="19.5" customHeight="1">
      <c r="A8" s="39" t="s">
        <v>8</v>
      </c>
      <c r="B8" s="35">
        <v>0</v>
      </c>
      <c r="C8" s="47"/>
      <c r="D8" s="47"/>
      <c r="E8" s="47"/>
      <c r="F8" s="48"/>
    </row>
    <row r="9" spans="1:6" ht="19.5" customHeight="1">
      <c r="A9" s="39" t="s">
        <v>13</v>
      </c>
      <c r="B9" s="35">
        <v>0</v>
      </c>
      <c r="C9" s="47"/>
      <c r="D9" s="47"/>
      <c r="E9" s="47"/>
      <c r="F9" s="48"/>
    </row>
    <row r="10" spans="1:6" ht="19.5" customHeight="1">
      <c r="A10" s="39" t="s">
        <v>0</v>
      </c>
      <c r="B10" s="36">
        <v>1</v>
      </c>
      <c r="C10" s="61">
        <f>LOOKUP(B10,temps_partiel)</f>
        <v>1</v>
      </c>
      <c r="D10" s="47"/>
      <c r="E10" s="45" t="str">
        <f>LOOKUP(B10,quotité)</f>
        <v>100%</v>
      </c>
      <c r="F10" s="48"/>
    </row>
    <row r="11" spans="1:6" ht="19.5" customHeight="1">
      <c r="A11" s="54"/>
      <c r="B11" s="55"/>
      <c r="C11" s="52"/>
      <c r="D11" s="47"/>
      <c r="E11" s="53"/>
      <c r="F11" s="48"/>
    </row>
    <row r="12" spans="1:6" ht="19.5" customHeight="1">
      <c r="A12" s="39" t="s">
        <v>18</v>
      </c>
      <c r="B12" s="37">
        <v>0</v>
      </c>
      <c r="C12" s="47"/>
      <c r="D12" s="47"/>
      <c r="E12" s="47"/>
      <c r="F12" s="48"/>
    </row>
    <row r="13" spans="1:6" ht="19.5" customHeight="1">
      <c r="A13" s="39" t="s">
        <v>40</v>
      </c>
      <c r="B13" s="37">
        <v>0</v>
      </c>
      <c r="C13" s="47"/>
      <c r="D13" s="47"/>
      <c r="E13" s="47"/>
      <c r="F13" s="48"/>
    </row>
    <row r="14" spans="1:6" ht="12.75">
      <c r="A14" s="46"/>
      <c r="B14" s="47"/>
      <c r="C14" s="47"/>
      <c r="D14" s="47"/>
      <c r="E14" s="47"/>
      <c r="F14" s="48"/>
    </row>
    <row r="15" spans="1:6" ht="12.75">
      <c r="A15" s="46"/>
      <c r="B15" s="47"/>
      <c r="C15" s="47"/>
      <c r="D15" s="47"/>
      <c r="E15" s="47"/>
      <c r="F15" s="48"/>
    </row>
    <row r="16" spans="1:6" ht="12.75">
      <c r="A16" s="46"/>
      <c r="B16" s="47"/>
      <c r="C16" s="47"/>
      <c r="D16" s="47"/>
      <c r="E16" s="47"/>
      <c r="F16" s="48"/>
    </row>
    <row r="17" spans="1:6" ht="12.75">
      <c r="A17" s="46"/>
      <c r="B17" s="47"/>
      <c r="C17" s="47"/>
      <c r="D17" s="47"/>
      <c r="E17" s="47"/>
      <c r="F17" s="48"/>
    </row>
    <row r="18" spans="1:6" ht="13.5" thickBot="1">
      <c r="A18" s="49"/>
      <c r="B18" s="50"/>
      <c r="C18" s="50"/>
      <c r="D18" s="50"/>
      <c r="E18" s="50"/>
      <c r="F18" s="51"/>
    </row>
  </sheetData>
  <sheetProtection password="C8E4" sheet="1" objects="1" scenarios="1"/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43" sqref="A43"/>
    </sheetView>
  </sheetViews>
  <sheetFormatPr defaultColWidth="11.421875" defaultRowHeight="12.75"/>
  <cols>
    <col min="1" max="1" width="20.7109375" style="75" customWidth="1"/>
    <col min="2" max="2" width="15.7109375" style="2" customWidth="1"/>
    <col min="3" max="3" width="25.7109375" style="75" customWidth="1"/>
    <col min="4" max="4" width="20.7109375" style="102" customWidth="1"/>
  </cols>
  <sheetData>
    <row r="1" spans="1:4" ht="17.25" thickBot="1">
      <c r="A1" s="65"/>
      <c r="B1" s="76" t="s">
        <v>64</v>
      </c>
      <c r="C1" s="77"/>
      <c r="D1" s="98"/>
    </row>
    <row r="2" spans="1:4" ht="15">
      <c r="A2" s="66"/>
      <c r="B2" s="64"/>
      <c r="C2" s="78"/>
      <c r="D2" s="99"/>
    </row>
    <row r="3" spans="1:4" ht="15">
      <c r="A3" s="66"/>
      <c r="B3" s="63"/>
      <c r="C3" s="78"/>
      <c r="D3" s="99"/>
    </row>
    <row r="4" spans="1:4" ht="15.75">
      <c r="A4" s="67" t="s">
        <v>27</v>
      </c>
      <c r="B4" s="89" t="str">
        <f>SAISIE!E3</f>
        <v>AST1</v>
      </c>
      <c r="C4" s="78"/>
      <c r="D4" s="99"/>
    </row>
    <row r="5" spans="1:4" ht="15.75">
      <c r="A5" s="67" t="s">
        <v>23</v>
      </c>
      <c r="B5" s="90">
        <f>SAISIE!B5</f>
        <v>2</v>
      </c>
      <c r="C5" s="79" t="s">
        <v>17</v>
      </c>
      <c r="D5" s="100">
        <f>B25-D38</f>
        <v>1292.51</v>
      </c>
    </row>
    <row r="6" spans="1:4" ht="15">
      <c r="A6" s="67" t="s">
        <v>28</v>
      </c>
      <c r="B6" s="91">
        <f>SAISIE!F5</f>
        <v>265</v>
      </c>
      <c r="C6" s="78"/>
      <c r="D6" s="101"/>
    </row>
    <row r="7" spans="1:4" ht="15">
      <c r="A7" s="68"/>
      <c r="B7" s="92"/>
      <c r="C7" s="80"/>
      <c r="D7" s="92"/>
    </row>
    <row r="8" spans="1:4" ht="15">
      <c r="A8" s="66"/>
      <c r="B8" s="92"/>
      <c r="C8" s="81"/>
      <c r="D8" s="92"/>
    </row>
    <row r="9" spans="1:4" ht="15">
      <c r="A9" s="66"/>
      <c r="B9" s="92"/>
      <c r="C9" s="81"/>
      <c r="D9" s="92"/>
    </row>
    <row r="10" spans="1:4" ht="12.75">
      <c r="A10" s="69" t="s">
        <v>1</v>
      </c>
      <c r="B10" s="93">
        <f>ROUNDDOWN((SAISIE!F5*point)*SAISIE!C10,2)</f>
        <v>1176.7</v>
      </c>
      <c r="C10" s="82" t="s">
        <v>3</v>
      </c>
      <c r="D10" s="93">
        <f>ROUNDDOWN(B10*7.85/100,2)</f>
        <v>92.37</v>
      </c>
    </row>
    <row r="11" spans="1:4" ht="15">
      <c r="A11" s="66"/>
      <c r="B11" s="92"/>
      <c r="C11" s="83"/>
      <c r="D11" s="93"/>
    </row>
    <row r="12" spans="1:4" ht="12.75">
      <c r="A12" s="69" t="s">
        <v>6</v>
      </c>
      <c r="B12" s="93">
        <f>IF(SAISIE!B9=1,ROUNDDOWN((point*10)*SAISIE!C10,2),0)</f>
        <v>0</v>
      </c>
      <c r="C12" s="82" t="s">
        <v>4</v>
      </c>
      <c r="D12" s="93">
        <f>ROUNDDOWN(B12*7.85/100,2)</f>
        <v>0</v>
      </c>
    </row>
    <row r="13" spans="1:4" ht="15">
      <c r="A13" s="66"/>
      <c r="B13" s="92"/>
      <c r="C13" s="82"/>
      <c r="D13" s="93"/>
    </row>
    <row r="14" spans="1:4" ht="12.75">
      <c r="A14" s="69" t="s">
        <v>2</v>
      </c>
      <c r="B14" s="93">
        <f>LOOKUP(SAISIE!B8,SFT)</f>
        <v>0</v>
      </c>
      <c r="C14" s="84" t="s">
        <v>35</v>
      </c>
      <c r="D14" s="93">
        <f>ROUND(B18*PRIMES!B4,2)</f>
        <v>9.22</v>
      </c>
    </row>
    <row r="15" spans="1:4" ht="15">
      <c r="A15" s="66"/>
      <c r="B15" s="92"/>
      <c r="C15" s="81"/>
      <c r="D15" s="92"/>
    </row>
    <row r="16" spans="1:4" ht="12.75">
      <c r="A16" s="69" t="s">
        <v>25</v>
      </c>
      <c r="B16" s="93">
        <f>IF(SAISIE!B7=1,ROUNDDOWN(IF(SAISIE!F5&lt;297,13.12+(B12/100),(B10+B12)/100),2),IF(SAISIE!B7=2,ROUNDDOWN(IF(SAISIE!F5&lt;297,39.36+(B12*3/100),(B10+B12)*3/100),2),0))</f>
        <v>0</v>
      </c>
      <c r="C16" s="84" t="s">
        <v>62</v>
      </c>
      <c r="D16" s="93">
        <f>ROUNDDOWN(IF((B14+B16+B20+B22)&lt;(B10*20/100),(B14+B16+B20+B22)*5/100,B10*1/100),0)</f>
        <v>11</v>
      </c>
    </row>
    <row r="17" spans="1:4" ht="15">
      <c r="A17" s="66"/>
      <c r="B17" s="92"/>
      <c r="C17" s="81"/>
      <c r="D17" s="92"/>
    </row>
    <row r="18" spans="1:4" ht="12.75">
      <c r="A18" s="69" t="s">
        <v>24</v>
      </c>
      <c r="B18" s="93">
        <f>ROUNDUP(PRIMES!B3*SAISIE!C10,2)</f>
        <v>57.6</v>
      </c>
      <c r="C18" s="85" t="s">
        <v>14</v>
      </c>
      <c r="D18" s="94">
        <f>SUM(D10:D16)</f>
        <v>112.59</v>
      </c>
    </row>
    <row r="19" spans="1:4" ht="15">
      <c r="A19" s="66"/>
      <c r="B19" s="92"/>
      <c r="C19" s="81"/>
      <c r="D19" s="92"/>
    </row>
    <row r="20" spans="1:4" ht="15">
      <c r="A20" s="69" t="s">
        <v>26</v>
      </c>
      <c r="B20" s="93">
        <f>ROUNDDOWN(B10*0.0833,2)</f>
        <v>98.01</v>
      </c>
      <c r="C20" s="86"/>
      <c r="D20" s="92"/>
    </row>
    <row r="21" spans="1:4" ht="15">
      <c r="A21" s="66"/>
      <c r="B21" s="92"/>
      <c r="C21" s="82" t="s">
        <v>7</v>
      </c>
      <c r="D21" s="93">
        <f>ROUNDDOWN((B25*97/100)*2.4/100,2)</f>
        <v>35.46</v>
      </c>
    </row>
    <row r="22" spans="1:4" ht="12.75">
      <c r="A22" s="69" t="s">
        <v>19</v>
      </c>
      <c r="B22" s="93">
        <f>IF(SAISIE!B3&gt;2,ROUNDUP(PRIMES!B7*SAISIE!C10,2),IF(SAISIE!B3=2,ROUNDUP(PRIMES!B8*SAISIE!C10,2),ROUNDUP(PRIMES!B9*SAISIE!C10,2)))</f>
        <v>190.98</v>
      </c>
      <c r="C22" s="82"/>
      <c r="D22" s="93"/>
    </row>
    <row r="23" spans="1:4" ht="15">
      <c r="A23" s="66"/>
      <c r="B23" s="92"/>
      <c r="C23" s="82" t="s">
        <v>9</v>
      </c>
      <c r="D23" s="93">
        <f>ROUNDDOWN((B25*97/100)*5.1/100,2)</f>
        <v>75.35</v>
      </c>
    </row>
    <row r="24" spans="1:4" ht="15">
      <c r="A24" s="66"/>
      <c r="B24" s="92"/>
      <c r="C24" s="82"/>
      <c r="D24" s="93"/>
    </row>
    <row r="25" spans="1:4" ht="12.75">
      <c r="A25" s="70" t="s">
        <v>5</v>
      </c>
      <c r="B25" s="94">
        <f>SUM(B10:B22)</f>
        <v>1523.29</v>
      </c>
      <c r="C25" s="82" t="s">
        <v>10</v>
      </c>
      <c r="D25" s="93">
        <f>ROUNDDOWN((B25*97/100)*0.5/100,2)</f>
        <v>7.38</v>
      </c>
    </row>
    <row r="26" spans="1:4" ht="15">
      <c r="A26" s="66"/>
      <c r="B26" s="92"/>
      <c r="C26" s="82"/>
      <c r="D26" s="93"/>
    </row>
    <row r="27" spans="1:4" ht="15">
      <c r="A27" s="66"/>
      <c r="B27" s="92"/>
      <c r="C27" s="82" t="s">
        <v>11</v>
      </c>
      <c r="D27" s="93">
        <f>IF((B10+B12+B16-D10-D12)&gt;288*point,ROUNDDOWN((B25-D18)/100,2),0)</f>
        <v>0</v>
      </c>
    </row>
    <row r="28" spans="1:4" ht="15">
      <c r="A28" s="69"/>
      <c r="B28" s="93"/>
      <c r="C28" s="81"/>
      <c r="D28" s="92"/>
    </row>
    <row r="29" spans="1:4" ht="12.75">
      <c r="A29" s="69"/>
      <c r="B29" s="93"/>
      <c r="C29" s="85" t="s">
        <v>16</v>
      </c>
      <c r="D29" s="94">
        <f>SUM(D20:D27)</f>
        <v>118.19</v>
      </c>
    </row>
    <row r="30" spans="1:4" ht="15">
      <c r="A30" s="66"/>
      <c r="B30" s="92"/>
      <c r="C30" s="81"/>
      <c r="D30" s="92"/>
    </row>
    <row r="31" spans="1:4" ht="12.75">
      <c r="A31" s="71"/>
      <c r="B31" s="94"/>
      <c r="C31" s="82" t="s">
        <v>15</v>
      </c>
      <c r="D31" s="93">
        <f>SAISIE!B12</f>
        <v>0</v>
      </c>
    </row>
    <row r="32" spans="1:4" ht="15">
      <c r="A32" s="66"/>
      <c r="B32" s="92"/>
      <c r="C32" s="82"/>
      <c r="D32" s="93"/>
    </row>
    <row r="33" spans="1:4" ht="15">
      <c r="A33" s="66"/>
      <c r="B33" s="92"/>
      <c r="C33" s="82" t="s">
        <v>39</v>
      </c>
      <c r="D33" s="93">
        <f>SAISIE!B13</f>
        <v>0</v>
      </c>
    </row>
    <row r="34" spans="1:4" ht="15">
      <c r="A34" s="66"/>
      <c r="B34" s="92"/>
      <c r="C34" s="81"/>
      <c r="D34" s="92"/>
    </row>
    <row r="35" spans="1:4" ht="15">
      <c r="A35" s="66"/>
      <c r="B35" s="92"/>
      <c r="C35" s="81"/>
      <c r="D35" s="92"/>
    </row>
    <row r="36" spans="1:4" ht="15">
      <c r="A36" s="66"/>
      <c r="B36" s="92"/>
      <c r="C36" s="85" t="s">
        <v>36</v>
      </c>
      <c r="D36" s="94">
        <f>SUM(D31:D33)</f>
        <v>0</v>
      </c>
    </row>
    <row r="37" spans="1:4" ht="15">
      <c r="A37" s="66"/>
      <c r="B37" s="92"/>
      <c r="C37" s="81"/>
      <c r="D37" s="92"/>
    </row>
    <row r="38" spans="1:4" ht="15">
      <c r="A38" s="66"/>
      <c r="B38" s="92"/>
      <c r="C38" s="85" t="s">
        <v>37</v>
      </c>
      <c r="D38" s="95">
        <f>D18+D29+D36</f>
        <v>230.78</v>
      </c>
    </row>
    <row r="39" spans="1:4" ht="15">
      <c r="A39" s="72" t="s">
        <v>20</v>
      </c>
      <c r="B39" s="95">
        <f>ROUNDDOWN(B25-(D18+D23+D27),2)</f>
        <v>1335.35</v>
      </c>
      <c r="C39" s="87"/>
      <c r="D39" s="92"/>
    </row>
    <row r="40" spans="1:4" ht="15">
      <c r="A40" s="73"/>
      <c r="B40" s="96"/>
      <c r="C40" s="87"/>
      <c r="D40" s="96"/>
    </row>
    <row r="41" spans="1:4" ht="15.75" thickBot="1">
      <c r="A41" s="74"/>
      <c r="B41" s="97"/>
      <c r="C41" s="88"/>
      <c r="D41" s="97"/>
    </row>
  </sheetData>
  <mergeCells count="1">
    <mergeCell ref="B1:C1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IV1">
      <selection activeCell="A1" sqref="A1:IV16384"/>
    </sheetView>
  </sheetViews>
  <sheetFormatPr defaultColWidth="11.421875" defaultRowHeight="12.75"/>
  <cols>
    <col min="1" max="1" width="32.140625" style="3" hidden="1" customWidth="1"/>
    <col min="2" max="2" width="0" style="3" hidden="1" customWidth="1"/>
    <col min="3" max="16384" width="0" style="0" hidden="1" customWidth="1"/>
  </cols>
  <sheetData>
    <row r="3" spans="1:2" ht="12.75">
      <c r="A3" s="8" t="s">
        <v>29</v>
      </c>
      <c r="B3" s="7">
        <v>57.6</v>
      </c>
    </row>
    <row r="4" spans="1:2" ht="12.75">
      <c r="A4" s="5" t="s">
        <v>30</v>
      </c>
      <c r="B4" s="7">
        <v>0.16</v>
      </c>
    </row>
    <row r="5" ht="12.75">
      <c r="B5" s="7"/>
    </row>
    <row r="6" spans="1:3" ht="12.75">
      <c r="A6" s="8" t="s">
        <v>31</v>
      </c>
      <c r="B6" s="26" t="s">
        <v>59</v>
      </c>
      <c r="C6" s="27" t="s">
        <v>60</v>
      </c>
    </row>
    <row r="7" spans="1:3" ht="12.75">
      <c r="A7" s="6" t="s">
        <v>32</v>
      </c>
      <c r="B7" s="7">
        <f>ROUNDUP(C7/12,2)</f>
        <v>199.82</v>
      </c>
      <c r="C7" s="7">
        <v>2397.8</v>
      </c>
    </row>
    <row r="8" spans="1:3" ht="12.75">
      <c r="A8" s="6" t="s">
        <v>34</v>
      </c>
      <c r="B8" s="7">
        <f>ROUNDUP(C8/12,2)</f>
        <v>193.92999999999998</v>
      </c>
      <c r="C8" s="7">
        <v>2327.1</v>
      </c>
    </row>
    <row r="9" spans="1:3" ht="12.75">
      <c r="A9" s="6" t="s">
        <v>33</v>
      </c>
      <c r="B9" s="7">
        <f>ROUNDUP(C9/12,2)</f>
        <v>190.98</v>
      </c>
      <c r="C9" s="7">
        <v>2291.75</v>
      </c>
    </row>
    <row r="16" ht="12.75">
      <c r="B16" s="7"/>
    </row>
    <row r="17" ht="12.75">
      <c r="B17" s="7"/>
    </row>
    <row r="18" ht="12.75">
      <c r="B18" s="7"/>
    </row>
  </sheetData>
  <sheetProtection password="C8E4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IV1">
      <selection activeCell="A1" sqref="A1:IV16384"/>
    </sheetView>
  </sheetViews>
  <sheetFormatPr defaultColWidth="11.421875" defaultRowHeight="12.75"/>
  <cols>
    <col min="1" max="1" width="15.7109375" style="0" hidden="1" customWidth="1"/>
    <col min="2" max="2" width="22.00390625" style="0" hidden="1" customWidth="1"/>
    <col min="3" max="16384" width="0" style="0" hidden="1" customWidth="1"/>
  </cols>
  <sheetData>
    <row r="2" spans="1:7" ht="15.75">
      <c r="A2" s="29" t="s">
        <v>63</v>
      </c>
      <c r="B2" s="30"/>
      <c r="C2" s="4">
        <v>4.440391</v>
      </c>
      <c r="E2" s="32" t="s">
        <v>57</v>
      </c>
      <c r="F2" s="32"/>
      <c r="G2" s="3">
        <v>448</v>
      </c>
    </row>
    <row r="4" spans="1:7" ht="15.75">
      <c r="A4" s="29"/>
      <c r="B4" s="30"/>
      <c r="C4" s="4"/>
      <c r="F4" s="31" t="s">
        <v>55</v>
      </c>
      <c r="G4" s="31"/>
    </row>
    <row r="5" spans="6:7" ht="12.75">
      <c r="F5" s="9">
        <v>0</v>
      </c>
      <c r="G5" s="22">
        <v>0</v>
      </c>
    </row>
    <row r="6" spans="1:7" ht="15.75">
      <c r="A6" s="29" t="s">
        <v>61</v>
      </c>
      <c r="B6" s="30"/>
      <c r="C6" s="4">
        <f>53.0196/12</f>
        <v>4.4182999999999995</v>
      </c>
      <c r="F6" s="11">
        <v>1</v>
      </c>
      <c r="G6" s="23">
        <v>2.29</v>
      </c>
    </row>
    <row r="7" spans="6:7" ht="12.75">
      <c r="F7" s="11">
        <v>2</v>
      </c>
      <c r="G7" s="23">
        <f>ROUNDDOWN(10.67+(plancher*point)*3/100,2)</f>
        <v>70.34</v>
      </c>
    </row>
    <row r="8" spans="1:7" ht="12.75">
      <c r="A8" s="1"/>
      <c r="F8" s="11">
        <v>3</v>
      </c>
      <c r="G8" s="23">
        <f>ROUND(15.24+(plancher*point)*8/100,2)</f>
        <v>174.38</v>
      </c>
    </row>
    <row r="9" spans="1:7" ht="15.75">
      <c r="A9" s="29" t="s">
        <v>58</v>
      </c>
      <c r="B9" s="30"/>
      <c r="C9" s="4">
        <f>52.7558/12</f>
        <v>4.396316666666666</v>
      </c>
      <c r="F9" s="24" t="s">
        <v>56</v>
      </c>
      <c r="G9" s="23">
        <f aca="true" t="shared" si="0" ref="G9:G15">ROUNDDOWN(G8+(4.57+(plancher*point)*6/100),2)</f>
        <v>298.3</v>
      </c>
    </row>
    <row r="10" spans="6:7" ht="12.75">
      <c r="F10" s="11">
        <v>5</v>
      </c>
      <c r="G10" s="23">
        <f t="shared" si="0"/>
        <v>422.22</v>
      </c>
    </row>
    <row r="11" spans="1:7" ht="15.75">
      <c r="A11" s="29" t="s">
        <v>21</v>
      </c>
      <c r="B11" s="30"/>
      <c r="C11" s="4">
        <f>52.4933/12</f>
        <v>4.374441666666667</v>
      </c>
      <c r="F11" s="11">
        <v>6</v>
      </c>
      <c r="G11" s="23">
        <f t="shared" si="0"/>
        <v>546.14</v>
      </c>
    </row>
    <row r="12" spans="6:7" ht="12.75">
      <c r="F12" s="11">
        <v>7</v>
      </c>
      <c r="G12" s="23">
        <f t="shared" si="0"/>
        <v>670.06</v>
      </c>
    </row>
    <row r="13" spans="6:7" ht="12.75">
      <c r="F13" s="11">
        <v>8</v>
      </c>
      <c r="G13" s="23">
        <f t="shared" si="0"/>
        <v>793.98</v>
      </c>
    </row>
    <row r="14" spans="6:7" ht="12.75">
      <c r="F14" s="11">
        <v>9</v>
      </c>
      <c r="G14" s="23">
        <f t="shared" si="0"/>
        <v>917.9</v>
      </c>
    </row>
    <row r="15" spans="6:7" ht="12.75">
      <c r="F15" s="13">
        <v>10</v>
      </c>
      <c r="G15" s="25">
        <f t="shared" si="0"/>
        <v>1041.82</v>
      </c>
    </row>
  </sheetData>
  <sheetProtection password="C8E4" sheet="1" objects="1" scenarios="1"/>
  <mergeCells count="7">
    <mergeCell ref="E2:F2"/>
    <mergeCell ref="A4:B4"/>
    <mergeCell ref="A2:B2"/>
    <mergeCell ref="A9:B9"/>
    <mergeCell ref="A11:B11"/>
    <mergeCell ref="A6:B6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5"/>
  <sheetViews>
    <sheetView workbookViewId="0" topLeftCell="IV13">
      <selection activeCell="A13" sqref="A1:IV16384"/>
    </sheetView>
  </sheetViews>
  <sheetFormatPr defaultColWidth="11.421875" defaultRowHeight="12.75"/>
  <cols>
    <col min="1" max="1" width="0" style="0" hidden="1" customWidth="1"/>
    <col min="2" max="2" width="14.57421875" style="0" hidden="1" customWidth="1"/>
    <col min="3" max="16384" width="0" style="0" hidden="1" customWidth="1"/>
  </cols>
  <sheetData>
    <row r="2" spans="1:5" ht="12.75">
      <c r="A2" s="34" t="s">
        <v>44</v>
      </c>
      <c r="B2" s="34"/>
      <c r="D2" s="31" t="s">
        <v>45</v>
      </c>
      <c r="E2" s="31"/>
    </row>
    <row r="3" spans="1:5" ht="12.75">
      <c r="A3" s="9">
        <v>0</v>
      </c>
      <c r="B3" s="10" t="s">
        <v>45</v>
      </c>
      <c r="D3" s="9">
        <v>1</v>
      </c>
      <c r="E3" s="10">
        <v>263</v>
      </c>
    </row>
    <row r="4" spans="1:5" ht="12.75">
      <c r="A4" s="11">
        <v>1</v>
      </c>
      <c r="B4" s="12" t="s">
        <v>46</v>
      </c>
      <c r="D4" s="11">
        <v>2</v>
      </c>
      <c r="E4" s="12">
        <v>264</v>
      </c>
    </row>
    <row r="5" spans="1:5" ht="12.75">
      <c r="A5" s="11">
        <v>2</v>
      </c>
      <c r="B5" s="12" t="s">
        <v>41</v>
      </c>
      <c r="D5" s="11">
        <v>3</v>
      </c>
      <c r="E5" s="12">
        <v>267</v>
      </c>
    </row>
    <row r="6" spans="1:5" ht="12.75">
      <c r="A6" s="11">
        <v>3</v>
      </c>
      <c r="B6" s="12" t="s">
        <v>42</v>
      </c>
      <c r="D6" s="11">
        <v>4</v>
      </c>
      <c r="E6" s="12">
        <v>271</v>
      </c>
    </row>
    <row r="7" spans="1:5" ht="12.75">
      <c r="A7" s="13">
        <v>4</v>
      </c>
      <c r="B7" s="14" t="s">
        <v>43</v>
      </c>
      <c r="D7" s="13">
        <v>5</v>
      </c>
      <c r="E7" s="14">
        <v>278</v>
      </c>
    </row>
    <row r="9" spans="4:5" ht="12.75">
      <c r="D9" s="31" t="s">
        <v>46</v>
      </c>
      <c r="E9" s="31"/>
    </row>
    <row r="10" spans="1:5" ht="12.75">
      <c r="A10" s="31" t="s">
        <v>47</v>
      </c>
      <c r="B10" s="31"/>
      <c r="D10" s="9">
        <v>2</v>
      </c>
      <c r="E10" s="10">
        <v>265</v>
      </c>
    </row>
    <row r="11" spans="1:5" ht="12.75">
      <c r="A11" s="9">
        <v>1</v>
      </c>
      <c r="B11" s="16">
        <v>1</v>
      </c>
      <c r="D11" s="11">
        <v>3</v>
      </c>
      <c r="E11" s="12">
        <v>268</v>
      </c>
    </row>
    <row r="12" spans="1:5" ht="12.75">
      <c r="A12" s="11">
        <v>2</v>
      </c>
      <c r="B12" s="17">
        <v>0.9142857142857143</v>
      </c>
      <c r="D12" s="11">
        <v>4</v>
      </c>
      <c r="E12" s="12">
        <v>276</v>
      </c>
    </row>
    <row r="13" spans="1:5" ht="12.75">
      <c r="A13" s="11">
        <v>3</v>
      </c>
      <c r="B13" s="17">
        <v>0.8571428571428571</v>
      </c>
      <c r="D13" s="11">
        <v>5</v>
      </c>
      <c r="E13" s="12">
        <v>284</v>
      </c>
    </row>
    <row r="14" spans="1:5" ht="12.75">
      <c r="A14" s="11">
        <v>4</v>
      </c>
      <c r="B14" s="17">
        <v>0.7</v>
      </c>
      <c r="D14" s="11">
        <v>6</v>
      </c>
      <c r="E14" s="12">
        <v>292</v>
      </c>
    </row>
    <row r="15" spans="1:5" ht="12.75">
      <c r="A15" s="11">
        <v>5</v>
      </c>
      <c r="B15" s="17">
        <v>0.6</v>
      </c>
      <c r="D15" s="11">
        <v>7</v>
      </c>
      <c r="E15" s="12">
        <v>300</v>
      </c>
    </row>
    <row r="16" spans="1:5" ht="12.75">
      <c r="A16" s="13">
        <v>6</v>
      </c>
      <c r="B16" s="18">
        <v>0.5</v>
      </c>
      <c r="D16" s="11">
        <v>8</v>
      </c>
      <c r="E16" s="12">
        <v>308</v>
      </c>
    </row>
    <row r="17" spans="4:5" ht="12.75">
      <c r="D17" s="11">
        <v>9</v>
      </c>
      <c r="E17" s="12">
        <v>315</v>
      </c>
    </row>
    <row r="18" spans="1:5" ht="12.75">
      <c r="A18" s="31" t="s">
        <v>48</v>
      </c>
      <c r="B18" s="31"/>
      <c r="D18" s="11">
        <v>10</v>
      </c>
      <c r="E18" s="12">
        <v>324</v>
      </c>
    </row>
    <row r="19" spans="1:5" ht="12.75">
      <c r="A19" s="9">
        <v>1</v>
      </c>
      <c r="B19" s="19" t="s">
        <v>49</v>
      </c>
      <c r="D19" s="13">
        <v>11</v>
      </c>
      <c r="E19" s="14">
        <v>337</v>
      </c>
    </row>
    <row r="20" spans="1:2" ht="12.75">
      <c r="A20" s="11">
        <v>2</v>
      </c>
      <c r="B20" s="20" t="s">
        <v>50</v>
      </c>
    </row>
    <row r="21" spans="1:5" ht="12.75">
      <c r="A21" s="11">
        <v>3</v>
      </c>
      <c r="B21" s="20" t="s">
        <v>51</v>
      </c>
      <c r="D21" s="31" t="s">
        <v>41</v>
      </c>
      <c r="E21" s="31"/>
    </row>
    <row r="22" spans="1:5" ht="12.75">
      <c r="A22" s="11">
        <v>4</v>
      </c>
      <c r="B22" s="20" t="s">
        <v>52</v>
      </c>
      <c r="D22" s="9">
        <v>1</v>
      </c>
      <c r="E22" s="10">
        <v>266</v>
      </c>
    </row>
    <row r="23" spans="1:5" ht="12.75">
      <c r="A23" s="11">
        <v>5</v>
      </c>
      <c r="B23" s="20" t="s">
        <v>53</v>
      </c>
      <c r="D23" s="11">
        <v>2</v>
      </c>
      <c r="E23" s="12">
        <v>272</v>
      </c>
    </row>
    <row r="24" spans="1:5" ht="12.75">
      <c r="A24" s="13">
        <v>6</v>
      </c>
      <c r="B24" s="21" t="s">
        <v>54</v>
      </c>
      <c r="D24" s="11">
        <v>3</v>
      </c>
      <c r="E24" s="12">
        <v>278</v>
      </c>
    </row>
    <row r="25" spans="4:5" ht="12.75">
      <c r="D25" s="11">
        <v>4</v>
      </c>
      <c r="E25" s="12">
        <v>287</v>
      </c>
    </row>
    <row r="26" spans="4:5" ht="12.75">
      <c r="D26" s="11">
        <v>5</v>
      </c>
      <c r="E26" s="12">
        <v>297</v>
      </c>
    </row>
    <row r="27" spans="4:5" ht="12.75">
      <c r="D27" s="11">
        <v>6</v>
      </c>
      <c r="E27" s="12">
        <v>305</v>
      </c>
    </row>
    <row r="28" spans="4:5" ht="12.75">
      <c r="D28" s="11">
        <v>7</v>
      </c>
      <c r="E28" s="12">
        <v>315</v>
      </c>
    </row>
    <row r="29" spans="4:5" ht="12.75">
      <c r="D29" s="11">
        <v>8</v>
      </c>
      <c r="E29" s="12">
        <v>323</v>
      </c>
    </row>
    <row r="30" spans="4:5" ht="12.75">
      <c r="D30" s="11">
        <v>9</v>
      </c>
      <c r="E30" s="12">
        <v>334</v>
      </c>
    </row>
    <row r="31" spans="4:5" ht="12.75">
      <c r="D31" s="11">
        <v>10</v>
      </c>
      <c r="E31" s="12">
        <v>344</v>
      </c>
    </row>
    <row r="32" spans="4:5" ht="12.75">
      <c r="D32" s="13">
        <v>11</v>
      </c>
      <c r="E32" s="14">
        <v>351</v>
      </c>
    </row>
    <row r="34" spans="4:5" ht="12.75">
      <c r="D34" s="31" t="s">
        <v>42</v>
      </c>
      <c r="E34" s="31"/>
    </row>
    <row r="35" spans="4:5" ht="12.75">
      <c r="D35" s="9">
        <v>6</v>
      </c>
      <c r="E35" s="10">
        <v>316</v>
      </c>
    </row>
    <row r="36" spans="4:5" ht="12.75">
      <c r="D36" s="11">
        <v>7</v>
      </c>
      <c r="E36" s="12">
        <v>324</v>
      </c>
    </row>
    <row r="37" spans="4:5" ht="12.75">
      <c r="D37" s="11">
        <v>8</v>
      </c>
      <c r="E37" s="12">
        <v>336</v>
      </c>
    </row>
    <row r="38" spans="4:5" ht="12.75">
      <c r="D38" s="11">
        <v>9</v>
      </c>
      <c r="E38" s="12">
        <v>348</v>
      </c>
    </row>
    <row r="39" spans="4:5" ht="12.75">
      <c r="D39" s="11">
        <v>10</v>
      </c>
      <c r="E39" s="12">
        <v>359</v>
      </c>
    </row>
    <row r="40" spans="4:5" ht="12.75">
      <c r="D40" s="13">
        <v>11</v>
      </c>
      <c r="E40" s="14">
        <v>378</v>
      </c>
    </row>
    <row r="42" spans="4:5" ht="12.75">
      <c r="D42" s="33" t="s">
        <v>43</v>
      </c>
      <c r="E42" s="33"/>
    </row>
    <row r="43" spans="4:5" ht="12.75">
      <c r="D43" s="9">
        <v>1</v>
      </c>
      <c r="E43" s="10">
        <v>359</v>
      </c>
    </row>
    <row r="44" spans="4:5" ht="12.75">
      <c r="D44" s="11">
        <v>2</v>
      </c>
      <c r="E44" s="12">
        <v>378</v>
      </c>
    </row>
    <row r="45" spans="4:5" ht="12.75">
      <c r="D45" s="13">
        <v>3</v>
      </c>
      <c r="E45" s="14">
        <v>393</v>
      </c>
    </row>
  </sheetData>
  <sheetProtection password="C8E4" sheet="1" objects="1" scenarios="1"/>
  <mergeCells count="8">
    <mergeCell ref="D34:E34"/>
    <mergeCell ref="D42:E42"/>
    <mergeCell ref="A2:B2"/>
    <mergeCell ref="D2:E2"/>
    <mergeCell ref="D9:E9"/>
    <mergeCell ref="D21:E21"/>
    <mergeCell ref="A10:B10"/>
    <mergeCell ref="A18:B1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per2</dc:creator>
  <cp:keywords/>
  <dc:description/>
  <cp:lastModifiedBy>DGCP</cp:lastModifiedBy>
  <cp:lastPrinted>2005-07-12T08:01:31Z</cp:lastPrinted>
  <dcterms:created xsi:type="dcterms:W3CDTF">2000-09-29T08:42:30Z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