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600" windowHeight="6135" tabRatio="697" activeTab="0"/>
  </bookViews>
  <sheets>
    <sheet name="SAISIE" sheetId="1" r:id="rId1"/>
    <sheet name="BULLETIN DE SALAIRE" sheetId="2" r:id="rId2"/>
    <sheet name="PRIMES" sheetId="3" r:id="rId3"/>
    <sheet name="INDICE" sheetId="4" r:id="rId4"/>
    <sheet name="TABLE" sheetId="5" r:id="rId5"/>
  </sheets>
  <definedNames>
    <definedName name="CP">'TABLE'!$D$28:$E$34</definedName>
    <definedName name="CrA">'TABLE'!$D$3:$E$15</definedName>
    <definedName name="CrB">'TABLE'!$D$18:$E$25</definedName>
    <definedName name="grade">'TABLE'!$A$3:$B$6</definedName>
    <definedName name="indice">#REF!</definedName>
    <definedName name="plancher">'INDICE'!$G$2</definedName>
    <definedName name="point">'INDICE'!$C$2</definedName>
    <definedName name="quotité">'TABLE'!$A$18:$B$23</definedName>
    <definedName name="SFT_Indice">'INDICE'!$F$18:$G$28</definedName>
    <definedName name="SFT_Plancher">'INDICE'!$F$5:$G$15</definedName>
    <definedName name="temps_partiel">'TABLE'!$A$10:$B$15</definedName>
  </definedNames>
  <calcPr fullCalcOnLoad="1"/>
</workbook>
</file>

<file path=xl/comments1.xml><?xml version="1.0" encoding="utf-8"?>
<comments xmlns="http://schemas.openxmlformats.org/spreadsheetml/2006/main">
  <authors>
    <author>Tresor Public</author>
  </authors>
  <commentList>
    <comment ref="B9" authorId="0">
      <text>
        <r>
          <rPr>
            <b/>
            <sz val="8"/>
            <color indexed="12"/>
            <rFont val="Tahoma"/>
            <family val="2"/>
          </rPr>
          <t xml:space="preserve">Si droit à NBI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Si pas de NBI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color indexed="12"/>
            <rFont val="Tahoma"/>
            <family val="2"/>
          </rPr>
          <t>Pas d'IR :</t>
        </r>
        <r>
          <rPr>
            <b/>
            <sz val="8"/>
            <rFont val="Tahoma"/>
            <family val="0"/>
          </rPr>
          <t xml:space="preserve">  </t>
        </r>
        <r>
          <rPr>
            <b/>
            <sz val="8"/>
            <color indexed="10"/>
            <rFont val="Tahoma"/>
            <family val="2"/>
          </rPr>
          <t>0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IR = 1% :</t>
        </r>
        <r>
          <rPr>
            <b/>
            <sz val="8"/>
            <rFont val="Tahoma"/>
            <family val="0"/>
          </rPr>
          <t xml:space="preserve"> 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IR = 3% : 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 2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color indexed="12"/>
            <rFont val="Tahoma"/>
            <family val="2"/>
          </rPr>
          <t>Contrôleur 2°classe, échelon de 1 à 7 :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0
</t>
        </r>
        <r>
          <rPr>
            <b/>
            <sz val="8"/>
            <color indexed="12"/>
            <rFont val="Tahoma"/>
            <family val="2"/>
          </rPr>
          <t xml:space="preserve">Contrôleur 2°classe, échelon de 8 à 13 :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 Contrôleur 1èreclasse : </t>
        </r>
        <r>
          <rPr>
            <b/>
            <sz val="8"/>
            <color indexed="10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Contrôleur Principal :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3</t>
        </r>
      </text>
    </comment>
    <comment ref="B8" authorId="0">
      <text>
        <r>
          <rPr>
            <b/>
            <sz val="8"/>
            <color indexed="12"/>
            <rFont val="Tahoma"/>
            <family val="2"/>
          </rPr>
          <t>Nombre d'enfants à charge de  - de 20 ans.</t>
        </r>
      </text>
    </comment>
    <comment ref="B10" authorId="0">
      <text>
        <r>
          <rPr>
            <b/>
            <u val="single"/>
            <sz val="8"/>
            <color indexed="12"/>
            <rFont val="Tahoma"/>
            <family val="2"/>
          </rPr>
          <t>Temps de travail 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
100% : </t>
        </r>
        <r>
          <rPr>
            <b/>
            <sz val="8"/>
            <color indexed="10"/>
            <rFont val="Tahoma"/>
            <family val="2"/>
          </rPr>
          <t xml:space="preserve"> 1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90% :</t>
        </r>
        <r>
          <rPr>
            <b/>
            <sz val="8"/>
            <rFont val="Tahoma"/>
            <family val="2"/>
          </rPr>
          <t xml:space="preserve">  </t>
        </r>
        <r>
          <rPr>
            <b/>
            <sz val="8"/>
            <color indexed="10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80% :  </t>
        </r>
        <r>
          <rPr>
            <b/>
            <sz val="8"/>
            <color indexed="10"/>
            <rFont val="Tahoma"/>
            <family val="2"/>
          </rPr>
          <t>3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70%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4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60%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5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50%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6</t>
        </r>
        <r>
          <rPr>
            <b/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color indexed="12"/>
            <rFont val="Tahoma"/>
            <family val="2"/>
          </rPr>
          <t>Saisir échelon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color indexed="12"/>
            <rFont val="Tahoma"/>
            <family val="2"/>
          </rPr>
          <t>Saisir le montant total des diverses retenues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u val="single"/>
            <sz val="8"/>
            <color indexed="12"/>
            <rFont val="Tahoma"/>
            <family val="2"/>
          </rPr>
          <t>OTISATION MUTUELLE
Indiquer le montant total des cotisations "mutuelle", y compris la branche générale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<sst xmlns="http://schemas.openxmlformats.org/spreadsheetml/2006/main" count="77" uniqueCount="68">
  <si>
    <t>TEMPS PARTIEL:</t>
  </si>
  <si>
    <t>SALAIRE BRUT:</t>
  </si>
  <si>
    <t>SFT:</t>
  </si>
  <si>
    <t>PENSION CIVILE (7,85%)</t>
  </si>
  <si>
    <t>PENSION CIVILE NBI (7,85%)</t>
  </si>
  <si>
    <t>TOTAL A:</t>
  </si>
  <si>
    <t>CSG (2,4%)</t>
  </si>
  <si>
    <t>ENFANTS:</t>
  </si>
  <si>
    <t>CSG (5,1%)</t>
  </si>
  <si>
    <t>RDS (0,5%)</t>
  </si>
  <si>
    <t>CONT. SOLIDARITE (1%)</t>
  </si>
  <si>
    <t>INDEMNITE RESIDENCE</t>
  </si>
  <si>
    <t>NBI:</t>
  </si>
  <si>
    <t>TOTAL C:</t>
  </si>
  <si>
    <t>MUTUELLE</t>
  </si>
  <si>
    <t>TOTAL D:</t>
  </si>
  <si>
    <t>TOTAL NET:</t>
  </si>
  <si>
    <t>MUTUELLE:</t>
  </si>
  <si>
    <t>PRIME RENDEMENT :</t>
  </si>
  <si>
    <t>MONTANT IMPOSABLE:</t>
  </si>
  <si>
    <t>VALEUR DU POINT AU 01/12/2002:</t>
  </si>
  <si>
    <t>GRADE</t>
  </si>
  <si>
    <t>ECHELON:</t>
  </si>
  <si>
    <t>IND. 321 (IMT):</t>
  </si>
  <si>
    <t>IND. RESIDENCE:</t>
  </si>
  <si>
    <t>GRADE:</t>
  </si>
  <si>
    <t>INDICE  :</t>
  </si>
  <si>
    <t>IMT  ( Ind. 321 ):</t>
  </si>
  <si>
    <t>cotisation PC IMT</t>
  </si>
  <si>
    <t>PRIME DE RENDEMENT</t>
  </si>
  <si>
    <t>PENSION CIVILE IMT</t>
  </si>
  <si>
    <t>TOTAL E:</t>
  </si>
  <si>
    <t>TOTAL C+D+E:</t>
  </si>
  <si>
    <t>SAISIE DES ELEMENTS DE CALCUL DU SALAIRE</t>
  </si>
  <si>
    <t>DIVERS</t>
  </si>
  <si>
    <t>DIVERS ( Tickets, Parking, etc..)</t>
  </si>
  <si>
    <t>grade</t>
  </si>
  <si>
    <t>temps partiel</t>
  </si>
  <si>
    <t>quotité</t>
  </si>
  <si>
    <t>100%</t>
  </si>
  <si>
    <t>90%</t>
  </si>
  <si>
    <t>80%</t>
  </si>
  <si>
    <t>70%</t>
  </si>
  <si>
    <t>60%</t>
  </si>
  <si>
    <t>50%</t>
  </si>
  <si>
    <t>CP</t>
  </si>
  <si>
    <t>CP:</t>
  </si>
  <si>
    <t>C1 + C2 (8à13):</t>
  </si>
  <si>
    <t>C2 (1à7):</t>
  </si>
  <si>
    <t>NBI   (12pts):</t>
  </si>
  <si>
    <t>ACF Sujétions:</t>
  </si>
  <si>
    <t>ACF Sujétions</t>
  </si>
  <si>
    <t>C1:</t>
  </si>
  <si>
    <t>C2 (8à13):</t>
  </si>
  <si>
    <t>Indice plancher SFT :</t>
  </si>
  <si>
    <t>SFT-Plancher</t>
  </si>
  <si>
    <t>SFT-Indice</t>
  </si>
  <si>
    <t>VALEUR DU POINT AU 01/01/2004:</t>
  </si>
  <si>
    <t>mensuel</t>
  </si>
  <si>
    <t>annuel</t>
  </si>
  <si>
    <t>VALEUR DU POINT AU 01/02/2005:</t>
  </si>
  <si>
    <t>Régime Additionnel F.P.</t>
  </si>
  <si>
    <t>VALEUR DU POINT AU 01/07/2005:</t>
  </si>
  <si>
    <t>C 2</t>
  </si>
  <si>
    <t>C 1</t>
  </si>
  <si>
    <t>C P</t>
  </si>
  <si>
    <t xml:space="preserve"> </t>
  </si>
  <si>
    <t>BULLETIN DE SALAIRE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</si>
</sst>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000000000000"/>
    <numFmt numFmtId="173" formatCode="#,##0.00000"/>
    <numFmt numFmtId="174" formatCode="0.00000%"/>
    <numFmt numFmtId="175" formatCode="#,##0.00\ _F"/>
    <numFmt numFmtId="176" formatCode="0.00000"/>
    <numFmt numFmtId="177" formatCode="#,##0_ ;[Red]\-#,##0\ "/>
    <numFmt numFmtId="178" formatCode="#,##0.00_ ;[Red]\-#,##0.00\ "/>
    <numFmt numFmtId="179" formatCode="#,##0.0"/>
    <numFmt numFmtId="180" formatCode="#,##0.000"/>
    <numFmt numFmtId="181" formatCode="#,##0.0000"/>
    <numFmt numFmtId="182" formatCode="0.000"/>
    <numFmt numFmtId="183" formatCode="0.0000"/>
    <numFmt numFmtId="184" formatCode="0.000000"/>
    <numFmt numFmtId="185" formatCode="#,##0.00\ &quot;€&quot;"/>
    <numFmt numFmtId="186" formatCode="0.00000000"/>
  </numFmts>
  <fonts count="34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 val="single"/>
      <sz val="9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2"/>
      <name val="Tahoma"/>
      <family val="2"/>
    </font>
    <font>
      <b/>
      <u val="single"/>
      <sz val="8"/>
      <color indexed="12"/>
      <name val="Tahoma"/>
      <family val="2"/>
    </font>
    <font>
      <b/>
      <u val="single"/>
      <sz val="12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22"/>
      <name val="Arial"/>
      <family val="2"/>
    </font>
    <font>
      <sz val="10"/>
      <name val="Bookman Old Style"/>
      <family val="1"/>
    </font>
    <font>
      <b/>
      <u val="single"/>
      <sz val="9"/>
      <color indexed="12"/>
      <name val="Bookman Old Style"/>
      <family val="1"/>
    </font>
    <font>
      <u val="single"/>
      <sz val="10"/>
      <color indexed="12"/>
      <name val="Bookman Old Style"/>
      <family val="1"/>
    </font>
    <font>
      <sz val="10"/>
      <color indexed="12"/>
      <name val="Bookman Old Style"/>
      <family val="1"/>
    </font>
    <font>
      <b/>
      <sz val="9"/>
      <color indexed="12"/>
      <name val="Bookman Old Style"/>
      <family val="1"/>
    </font>
    <font>
      <b/>
      <i/>
      <u val="single"/>
      <sz val="10"/>
      <color indexed="12"/>
      <name val="Bookman Old Style"/>
      <family val="1"/>
    </font>
    <font>
      <b/>
      <u val="single"/>
      <sz val="8"/>
      <color indexed="12"/>
      <name val="Bookman Old Style"/>
      <family val="1"/>
    </font>
    <font>
      <b/>
      <u val="single"/>
      <sz val="12"/>
      <color indexed="12"/>
      <name val="Bookman Old Style"/>
      <family val="1"/>
    </font>
    <font>
      <u val="single"/>
      <sz val="10"/>
      <name val="Bookman Old Style"/>
      <family val="1"/>
    </font>
    <font>
      <sz val="10"/>
      <name val="Arial Baltic"/>
      <family val="2"/>
    </font>
    <font>
      <b/>
      <sz val="11"/>
      <color indexed="53"/>
      <name val="Arial Baltic"/>
      <family val="2"/>
    </font>
    <font>
      <b/>
      <sz val="10"/>
      <color indexed="53"/>
      <name val="Arial Baltic"/>
      <family val="2"/>
    </font>
    <font>
      <sz val="10"/>
      <color indexed="53"/>
      <name val="Arial Baltic"/>
      <family val="2"/>
    </font>
    <font>
      <b/>
      <sz val="12"/>
      <color indexed="53"/>
      <name val="Arial Baltic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84" fontId="5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center"/>
    </xf>
    <xf numFmtId="176" fontId="0" fillId="0" borderId="4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176" fontId="0" fillId="4" borderId="0" xfId="0" applyNumberFormat="1" applyFill="1" applyBorder="1" applyAlignment="1">
      <alignment horizontal="center" vertical="center"/>
    </xf>
    <xf numFmtId="0" fontId="18" fillId="4" borderId="12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15" xfId="0" applyFont="1" applyFill="1" applyBorder="1" applyAlignment="1">
      <alignment vertical="center"/>
    </xf>
    <xf numFmtId="0" fontId="18" fillId="4" borderId="16" xfId="0" applyFont="1" applyFill="1" applyBorder="1" applyAlignment="1">
      <alignment vertical="center"/>
    </xf>
    <xf numFmtId="0" fontId="18" fillId="4" borderId="17" xfId="0" applyFont="1" applyFill="1" applyBorder="1" applyAlignment="1">
      <alignment vertical="center"/>
    </xf>
    <xf numFmtId="0" fontId="18" fillId="4" borderId="18" xfId="0" applyFont="1" applyFill="1" applyBorder="1" applyAlignment="1">
      <alignment vertical="center"/>
    </xf>
    <xf numFmtId="176" fontId="18" fillId="4" borderId="0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0" fontId="12" fillId="4" borderId="12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1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1" fontId="0" fillId="3" borderId="0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4" fontId="0" fillId="0" borderId="19" xfId="0" applyNumberFormat="1" applyBorder="1" applyAlignment="1">
      <alignment/>
    </xf>
    <xf numFmtId="0" fontId="19" fillId="0" borderId="9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4" fillId="2" borderId="12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right"/>
    </xf>
    <xf numFmtId="0" fontId="25" fillId="2" borderId="12" xfId="0" applyFont="1" applyFill="1" applyBorder="1" applyAlignment="1">
      <alignment horizontal="right"/>
    </xf>
    <xf numFmtId="0" fontId="22" fillId="0" borderId="16" xfId="0" applyFont="1" applyBorder="1" applyAlignment="1">
      <alignment/>
    </xf>
    <xf numFmtId="0" fontId="19" fillId="0" borderId="0" xfId="0" applyFont="1" applyAlignment="1">
      <alignment/>
    </xf>
    <xf numFmtId="0" fontId="26" fillId="2" borderId="11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8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1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4" fillId="2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7" xfId="0" applyFont="1" applyBorder="1" applyAlignment="1">
      <alignment/>
    </xf>
    <xf numFmtId="4" fontId="28" fillId="0" borderId="15" xfId="0" applyNumberFormat="1" applyFont="1" applyBorder="1" applyAlignment="1">
      <alignment/>
    </xf>
    <xf numFmtId="4" fontId="29" fillId="0" borderId="15" xfId="0" applyNumberFormat="1" applyFont="1" applyFill="1" applyBorder="1" applyAlignment="1">
      <alignment horizontal="center"/>
    </xf>
    <xf numFmtId="49" fontId="30" fillId="0" borderId="15" xfId="0" applyNumberFormat="1" applyFont="1" applyFill="1" applyBorder="1" applyAlignment="1">
      <alignment horizontal="center"/>
    </xf>
    <xf numFmtId="0" fontId="30" fillId="0" borderId="15" xfId="0" applyNumberFormat="1" applyFont="1" applyFill="1" applyBorder="1" applyAlignment="1">
      <alignment horizontal="center"/>
    </xf>
    <xf numFmtId="4" fontId="31" fillId="0" borderId="15" xfId="0" applyNumberFormat="1" applyFont="1" applyBorder="1" applyAlignment="1">
      <alignment/>
    </xf>
    <xf numFmtId="4" fontId="31" fillId="0" borderId="15" xfId="0" applyNumberFormat="1" applyFont="1" applyBorder="1" applyAlignment="1">
      <alignment horizontal="center"/>
    </xf>
    <xf numFmtId="4" fontId="30" fillId="0" borderId="15" xfId="0" applyNumberFormat="1" applyFont="1" applyBorder="1" applyAlignment="1">
      <alignment horizontal="center"/>
    </xf>
    <xf numFmtId="4" fontId="30" fillId="2" borderId="15" xfId="0" applyNumberFormat="1" applyFont="1" applyFill="1" applyBorder="1" applyAlignment="1">
      <alignment horizontal="center"/>
    </xf>
    <xf numFmtId="4" fontId="31" fillId="0" borderId="18" xfId="0" applyNumberFormat="1" applyFont="1" applyBorder="1" applyAlignment="1">
      <alignment/>
    </xf>
    <xf numFmtId="3" fontId="28" fillId="0" borderId="19" xfId="0" applyNumberFormat="1" applyFont="1" applyBorder="1" applyAlignment="1">
      <alignment horizontal="center"/>
    </xf>
    <xf numFmtId="3" fontId="28" fillId="0" borderId="15" xfId="0" applyNumberFormat="1" applyFont="1" applyBorder="1" applyAlignment="1">
      <alignment horizontal="center"/>
    </xf>
    <xf numFmtId="4" fontId="32" fillId="5" borderId="20" xfId="0" applyNumberFormat="1" applyFont="1" applyFill="1" applyBorder="1" applyAlignment="1">
      <alignment horizontal="center"/>
    </xf>
    <xf numFmtId="1" fontId="31" fillId="0" borderId="15" xfId="0" applyNumberFormat="1" applyFont="1" applyBorder="1" applyAlignment="1">
      <alignment horizontal="center"/>
    </xf>
    <xf numFmtId="4" fontId="2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20" sqref="A20"/>
    </sheetView>
  </sheetViews>
  <sheetFormatPr defaultColWidth="11.421875" defaultRowHeight="12.75"/>
  <cols>
    <col min="1" max="1" width="27.00390625" style="16" customWidth="1"/>
    <col min="2" max="16384" width="11.421875" style="16" customWidth="1"/>
  </cols>
  <sheetData>
    <row r="1" spans="1:6" ht="15.75">
      <c r="A1" s="32" t="s">
        <v>33</v>
      </c>
      <c r="B1" s="33"/>
      <c r="C1" s="33"/>
      <c r="D1" s="33"/>
      <c r="E1" s="53"/>
      <c r="F1" s="54"/>
    </row>
    <row r="2" spans="1:6" ht="13.5" thickBot="1">
      <c r="A2" s="52"/>
      <c r="B2" s="40"/>
      <c r="C2" s="40"/>
      <c r="D2" s="40"/>
      <c r="E2" s="40"/>
      <c r="F2" s="55"/>
    </row>
    <row r="3" spans="1:6" ht="19.5" customHeight="1" thickBot="1">
      <c r="A3" s="34" t="s">
        <v>21</v>
      </c>
      <c r="B3" s="57">
        <v>0</v>
      </c>
      <c r="C3" s="40"/>
      <c r="D3" s="40"/>
      <c r="E3" s="37" t="str">
        <f>LOOKUP(B3,grade)</f>
        <v>C 2</v>
      </c>
      <c r="F3" s="55"/>
    </row>
    <row r="4" spans="1:6" ht="19.5" customHeight="1" thickBot="1">
      <c r="A4" s="51"/>
      <c r="B4" s="40"/>
      <c r="C4" s="40"/>
      <c r="D4" s="40"/>
      <c r="E4" s="40"/>
      <c r="F4" s="55"/>
    </row>
    <row r="5" spans="1:6" ht="19.5" customHeight="1" thickBot="1">
      <c r="A5" s="34" t="s">
        <v>22</v>
      </c>
      <c r="B5" s="58">
        <v>1</v>
      </c>
      <c r="C5" s="40"/>
      <c r="D5" s="40"/>
      <c r="E5" s="35" t="s">
        <v>26</v>
      </c>
      <c r="F5" s="38">
        <f>IF(B3=3,LOOKUP(B5,CP),IF(B3=2,LOOKUP(B5,CrB),LOOKUP(B5,CrA)))</f>
        <v>290</v>
      </c>
    </row>
    <row r="6" spans="1:6" ht="19.5" customHeight="1">
      <c r="A6" s="51"/>
      <c r="B6" s="40"/>
      <c r="C6" s="40"/>
      <c r="D6" s="40"/>
      <c r="E6" s="40"/>
      <c r="F6" s="55"/>
    </row>
    <row r="7" spans="1:6" ht="19.5" customHeight="1">
      <c r="A7" s="36" t="s">
        <v>11</v>
      </c>
      <c r="B7" s="59">
        <v>0</v>
      </c>
      <c r="C7" s="40"/>
      <c r="D7" s="40"/>
      <c r="E7" s="40"/>
      <c r="F7" s="55"/>
    </row>
    <row r="8" spans="1:6" ht="19.5" customHeight="1">
      <c r="A8" s="36" t="s">
        <v>7</v>
      </c>
      <c r="B8" s="59">
        <v>0</v>
      </c>
      <c r="C8" s="40"/>
      <c r="D8" s="40"/>
      <c r="E8" s="40"/>
      <c r="F8" s="55"/>
    </row>
    <row r="9" spans="1:6" ht="19.5" customHeight="1">
      <c r="A9" s="36" t="s">
        <v>12</v>
      </c>
      <c r="B9" s="59">
        <v>0</v>
      </c>
      <c r="C9" s="40"/>
      <c r="D9" s="40"/>
      <c r="E9" s="40"/>
      <c r="F9" s="55"/>
    </row>
    <row r="10" spans="1:6" ht="19.5" customHeight="1">
      <c r="A10" s="36" t="s">
        <v>0</v>
      </c>
      <c r="B10" s="60">
        <v>1</v>
      </c>
      <c r="C10" s="48">
        <f>LOOKUP(B10,temps_partiel)</f>
        <v>1</v>
      </c>
      <c r="D10" s="40"/>
      <c r="E10" s="39" t="str">
        <f>LOOKUP(B10,quotité)</f>
        <v>100%</v>
      </c>
      <c r="F10" s="55"/>
    </row>
    <row r="11" spans="1:6" ht="19.5" customHeight="1">
      <c r="A11" s="49"/>
      <c r="B11" s="50"/>
      <c r="C11" s="41"/>
      <c r="D11" s="40"/>
      <c r="E11" s="56"/>
      <c r="F11" s="55"/>
    </row>
    <row r="12" spans="1:6" ht="19.5" customHeight="1">
      <c r="A12" s="36" t="s">
        <v>17</v>
      </c>
      <c r="B12" s="61" t="s">
        <v>66</v>
      </c>
      <c r="C12" s="40"/>
      <c r="D12" s="40"/>
      <c r="E12" s="40"/>
      <c r="F12" s="55"/>
    </row>
    <row r="13" spans="1:6" ht="19.5" customHeight="1">
      <c r="A13" s="36" t="s">
        <v>35</v>
      </c>
      <c r="B13" s="61" t="s">
        <v>66</v>
      </c>
      <c r="C13" s="40"/>
      <c r="D13" s="40"/>
      <c r="E13" s="40"/>
      <c r="F13" s="55"/>
    </row>
    <row r="14" spans="1:6" ht="12.75">
      <c r="A14" s="42"/>
      <c r="B14" s="43"/>
      <c r="C14" s="43"/>
      <c r="D14" s="43"/>
      <c r="E14" s="43"/>
      <c r="F14" s="44"/>
    </row>
    <row r="15" spans="1:6" ht="12.75">
      <c r="A15" s="42"/>
      <c r="B15" s="43"/>
      <c r="C15" s="43"/>
      <c r="D15" s="43"/>
      <c r="E15" s="43"/>
      <c r="F15" s="44"/>
    </row>
    <row r="16" spans="1:6" ht="12.75">
      <c r="A16" s="42"/>
      <c r="B16" s="43"/>
      <c r="C16" s="43"/>
      <c r="D16" s="43"/>
      <c r="E16" s="43"/>
      <c r="F16" s="44"/>
    </row>
    <row r="17" spans="1:6" ht="12.75">
      <c r="A17" s="42"/>
      <c r="B17" s="43"/>
      <c r="C17" s="43"/>
      <c r="D17" s="43"/>
      <c r="E17" s="43"/>
      <c r="F17" s="44"/>
    </row>
    <row r="18" spans="1:6" ht="13.5" thickBot="1">
      <c r="A18" s="45"/>
      <c r="B18" s="46"/>
      <c r="C18" s="46"/>
      <c r="D18" s="46"/>
      <c r="E18" s="46"/>
      <c r="F18" s="47"/>
    </row>
  </sheetData>
  <sheetProtection password="C8E4" sheet="1" objects="1" scenarios="1"/>
  <mergeCells count="1">
    <mergeCell ref="A1:D1"/>
  </mergeCells>
  <dataValidations count="6">
    <dataValidation type="whole" allowBlank="1" showInputMessage="1" showErrorMessage="1" sqref="B3">
      <formula1>0</formula1>
      <formula2>3</formula2>
    </dataValidation>
    <dataValidation type="whole" allowBlank="1" showInputMessage="1" showErrorMessage="1" sqref="B5">
      <formula1>1</formula1>
      <formula2>13</formula2>
    </dataValidation>
    <dataValidation type="whole" allowBlank="1" showInputMessage="1" showErrorMessage="1" sqref="B7">
      <formula1>0</formula1>
      <formula2>2</formula2>
    </dataValidation>
    <dataValidation type="whole" allowBlank="1" showInputMessage="1" showErrorMessage="1" sqref="B8">
      <formula1>0</formula1>
      <formula2>10</formula2>
    </dataValidation>
    <dataValidation type="whole" allowBlank="1" showInputMessage="1" showErrorMessage="1" sqref="B9">
      <formula1>0</formula1>
      <formula2>1</formula2>
    </dataValidation>
    <dataValidation type="whole" allowBlank="1" showInputMessage="1" showErrorMessage="1" sqref="B10">
      <formula1>1</formula1>
      <formula2>6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73" customWidth="1"/>
    <col min="2" max="2" width="15.7109375" style="2" customWidth="1"/>
    <col min="3" max="3" width="25.7109375" style="73" customWidth="1"/>
    <col min="4" max="4" width="20.7109375" style="100" customWidth="1"/>
  </cols>
  <sheetData>
    <row r="1" spans="1:4" ht="17.25" thickBot="1">
      <c r="A1" s="63"/>
      <c r="B1" s="74" t="s">
        <v>67</v>
      </c>
      <c r="C1" s="75"/>
      <c r="D1" s="96"/>
    </row>
    <row r="2" spans="1:4" ht="15">
      <c r="A2" s="64"/>
      <c r="B2" s="62"/>
      <c r="C2" s="76"/>
      <c r="D2" s="97"/>
    </row>
    <row r="3" spans="1:4" ht="15">
      <c r="A3" s="64"/>
      <c r="B3" s="87"/>
      <c r="C3" s="76"/>
      <c r="D3" s="97"/>
    </row>
    <row r="4" spans="1:4" ht="15.75">
      <c r="A4" s="65" t="s">
        <v>25</v>
      </c>
      <c r="B4" s="88" t="str">
        <f>SAISIE!E3</f>
        <v>C 2</v>
      </c>
      <c r="C4" s="76"/>
      <c r="D4" s="97"/>
    </row>
    <row r="5" spans="1:4" ht="15.75">
      <c r="A5" s="65" t="s">
        <v>22</v>
      </c>
      <c r="B5" s="89">
        <f>SAISIE!B5</f>
        <v>1</v>
      </c>
      <c r="C5" s="77" t="s">
        <v>16</v>
      </c>
      <c r="D5" s="98">
        <f>B27-D38</f>
        <v>1483.92</v>
      </c>
    </row>
    <row r="6" spans="1:4" ht="15">
      <c r="A6" s="65" t="s">
        <v>26</v>
      </c>
      <c r="B6" s="90">
        <f>SAISIE!F5</f>
        <v>290</v>
      </c>
      <c r="C6" s="78"/>
      <c r="D6" s="99"/>
    </row>
    <row r="7" spans="1:4" ht="15">
      <c r="A7" s="66"/>
      <c r="B7" s="91"/>
      <c r="C7" s="79"/>
      <c r="D7" s="91"/>
    </row>
    <row r="8" spans="1:4" ht="15">
      <c r="A8" s="67"/>
      <c r="B8" s="91"/>
      <c r="C8" s="80"/>
      <c r="D8" s="91"/>
    </row>
    <row r="9" spans="1:4" ht="15">
      <c r="A9" s="67"/>
      <c r="B9" s="91"/>
      <c r="C9" s="80"/>
      <c r="D9" s="91"/>
    </row>
    <row r="10" spans="1:4" ht="12.75">
      <c r="A10" s="68" t="s">
        <v>1</v>
      </c>
      <c r="B10" s="92">
        <f>ROUNDDOWN((SAISIE!F5*point)*SAISIE!C10,2)</f>
        <v>1287.71</v>
      </c>
      <c r="C10" s="81" t="s">
        <v>3</v>
      </c>
      <c r="D10" s="92">
        <f>ROUNDDOWN(B10*7.85/100,2)</f>
        <v>101.08</v>
      </c>
    </row>
    <row r="11" spans="1:4" ht="15">
      <c r="A11" s="67"/>
      <c r="B11" s="91"/>
      <c r="C11" s="82"/>
      <c r="D11" s="92"/>
    </row>
    <row r="12" spans="1:4" ht="12.75">
      <c r="A12" s="68" t="s">
        <v>49</v>
      </c>
      <c r="B12" s="92">
        <f>IF(SAISIE!B9=1,ROUNDDOWN((point*12)*SAISIE!C10,2),0)</f>
        <v>0</v>
      </c>
      <c r="C12" s="81" t="s">
        <v>4</v>
      </c>
      <c r="D12" s="92">
        <f>ROUNDDOWN(B12*7.85/100,2)</f>
        <v>0</v>
      </c>
    </row>
    <row r="13" spans="1:4" ht="15">
      <c r="A13" s="67"/>
      <c r="B13" s="91"/>
      <c r="C13" s="81"/>
      <c r="D13" s="92"/>
    </row>
    <row r="14" spans="1:4" ht="12.75">
      <c r="A14" s="68" t="s">
        <v>2</v>
      </c>
      <c r="B14" s="92">
        <f>IF(B6&lt;plancher+1,LOOKUP(SAISIE!B8,SFT_Plancher),LOOKUP(SAISIE!B8,SFT_Indice))</f>
        <v>0</v>
      </c>
      <c r="C14" s="83" t="s">
        <v>30</v>
      </c>
      <c r="D14" s="92">
        <f>ROUND(B18*PRIMES!B4,2)</f>
        <v>9.27</v>
      </c>
    </row>
    <row r="15" spans="1:4" ht="15">
      <c r="A15" s="67"/>
      <c r="B15" s="92"/>
      <c r="C15" s="80"/>
      <c r="D15" s="91"/>
    </row>
    <row r="16" spans="1:4" ht="12.75">
      <c r="A16" s="68" t="s">
        <v>24</v>
      </c>
      <c r="B16" s="92">
        <f>IF(SAISIE!B7=1,ROUNDDOWN(IF(SAISIE!F5&lt;297,13.12+(B12/100),(B10+B12)/100),2),IF(SAISIE!B7=2,ROUNDDOWN(IF(SAISIE!F5&lt;297,39.36+(B12*3/100),(B10+B12)*3/100),2),0))</f>
        <v>0</v>
      </c>
      <c r="C16" s="83" t="s">
        <v>61</v>
      </c>
      <c r="D16" s="92">
        <f>ROUNDDOWN(IF((B14+B16+B20+B22+B24)&lt;(B10*20/100),(B14+B16+B20+B22+B24)*5/100,B10*1/100),2)</f>
        <v>12.87</v>
      </c>
    </row>
    <row r="17" spans="1:4" ht="15">
      <c r="A17" s="67"/>
      <c r="B17" s="91"/>
      <c r="C17" s="80"/>
      <c r="D17" s="91"/>
    </row>
    <row r="18" spans="1:4" ht="12.75">
      <c r="A18" s="68" t="s">
        <v>23</v>
      </c>
      <c r="B18" s="92">
        <f>ROUNDUP(PRIMES!B3*SAISIE!C10,2)</f>
        <v>57.91</v>
      </c>
      <c r="C18" s="84" t="s">
        <v>13</v>
      </c>
      <c r="D18" s="93">
        <f>SUM(D10:D16)</f>
        <v>123.22</v>
      </c>
    </row>
    <row r="19" spans="1:4" ht="15">
      <c r="A19" s="67"/>
      <c r="B19" s="91"/>
      <c r="C19" s="80"/>
      <c r="D19" s="91"/>
    </row>
    <row r="20" spans="1:4" ht="15">
      <c r="A20" s="68" t="str">
        <f>IF(SAISIE!B3=0,"I.A.T.","I.F.T.S.")</f>
        <v>I.A.T.</v>
      </c>
      <c r="B20" s="92">
        <f>ROUNDDOWN(B10*0.0833,2)</f>
        <v>107.26</v>
      </c>
      <c r="C20" s="85"/>
      <c r="D20" s="91"/>
    </row>
    <row r="21" spans="1:4" ht="15">
      <c r="A21" s="67"/>
      <c r="B21" s="91"/>
      <c r="C21" s="81" t="s">
        <v>6</v>
      </c>
      <c r="D21" s="92">
        <f>ROUNDDOWN((B27*97/100)*2.4/100,2)</f>
        <v>40.56</v>
      </c>
    </row>
    <row r="22" spans="1:4" ht="12.75">
      <c r="A22" s="68" t="s">
        <v>18</v>
      </c>
      <c r="B22" s="92">
        <f>IF(SAISIE!B3=3,ROUNDUP(PRIMES!B7*SAISIE!C10,2),IF(SAISIE!B3=0,ROUNDUP(PRIMES!B9*SAISIE!C10,2),ROUNDUP(PRIMES!B8*SAISIE!C10,2)))</f>
        <v>289.46</v>
      </c>
      <c r="C22" s="81"/>
      <c r="D22" s="92"/>
    </row>
    <row r="23" spans="1:4" ht="15">
      <c r="A23" s="67"/>
      <c r="B23" s="91"/>
      <c r="C23" s="81" t="s">
        <v>8</v>
      </c>
      <c r="D23" s="92">
        <f>ROUNDDOWN((B27*97/100)*5.1/100,2)</f>
        <v>86.19</v>
      </c>
    </row>
    <row r="24" spans="1:4" ht="12.75">
      <c r="A24" s="68" t="s">
        <v>50</v>
      </c>
      <c r="B24" s="92">
        <f>IF(SAISIE!B3=3,ROUNDUP(PRIMES!B12*SAISIE!C10,2),IF(SAISIE!B3=2,ROUNDUP(PRIMES!B13*SAISIE!C10,2),IF(SAISIE!B3=1,ROUNDUP(PRIMES!B14*SAISIE!C10,2),0)))</f>
        <v>0</v>
      </c>
      <c r="C24" s="81"/>
      <c r="D24" s="92"/>
    </row>
    <row r="25" spans="1:4" ht="15">
      <c r="A25" s="67"/>
      <c r="B25" s="91"/>
      <c r="C25" s="81" t="s">
        <v>9</v>
      </c>
      <c r="D25" s="92">
        <f>ROUNDDOWN((B27*97/100)*0.5/100,2)</f>
        <v>8.45</v>
      </c>
    </row>
    <row r="26" spans="1:4" ht="15">
      <c r="A26" s="67"/>
      <c r="B26" s="91"/>
      <c r="C26" s="81"/>
      <c r="D26" s="92"/>
    </row>
    <row r="27" spans="1:4" ht="12.75">
      <c r="A27" s="69" t="s">
        <v>5</v>
      </c>
      <c r="B27" s="93">
        <f>SUM(B10:B24)</f>
        <v>1742.3400000000001</v>
      </c>
      <c r="C27" s="81" t="s">
        <v>10</v>
      </c>
      <c r="D27" s="92">
        <f>IF((B10+B12+B16-D10-D12)&gt;288*point,ROUNDDOWN((B27-D18)/100,2),0)</f>
        <v>0</v>
      </c>
    </row>
    <row r="28" spans="1:4" ht="15">
      <c r="A28" s="67"/>
      <c r="B28" s="91"/>
      <c r="C28" s="80"/>
      <c r="D28" s="91"/>
    </row>
    <row r="29" spans="1:4" ht="15">
      <c r="A29" s="67"/>
      <c r="B29" s="91"/>
      <c r="C29" s="84" t="s">
        <v>15</v>
      </c>
      <c r="D29" s="93">
        <f>SUM(D20:D27)</f>
        <v>135.2</v>
      </c>
    </row>
    <row r="30" spans="1:4" ht="15">
      <c r="A30" s="68"/>
      <c r="B30" s="92"/>
      <c r="C30" s="80"/>
      <c r="D30" s="91"/>
    </row>
    <row r="31" spans="1:4" ht="12.75">
      <c r="A31" s="68"/>
      <c r="B31" s="92"/>
      <c r="C31" s="81" t="s">
        <v>14</v>
      </c>
      <c r="D31" s="92" t="str">
        <f>SAISIE!B12</f>
        <v> </v>
      </c>
    </row>
    <row r="32" spans="1:4" ht="15">
      <c r="A32" s="67"/>
      <c r="B32" s="91"/>
      <c r="C32" s="81"/>
      <c r="D32" s="92"/>
    </row>
    <row r="33" spans="1:4" ht="12.75">
      <c r="A33" s="70"/>
      <c r="B33" s="93"/>
      <c r="C33" s="81" t="s">
        <v>34</v>
      </c>
      <c r="D33" s="92" t="str">
        <f>SAISIE!B13</f>
        <v> </v>
      </c>
    </row>
    <row r="34" spans="1:4" ht="15">
      <c r="A34" s="67"/>
      <c r="B34" s="91"/>
      <c r="C34" s="80"/>
      <c r="D34" s="91"/>
    </row>
    <row r="35" spans="1:4" ht="15">
      <c r="A35" s="67"/>
      <c r="B35" s="91"/>
      <c r="C35" s="80"/>
      <c r="D35" s="91"/>
    </row>
    <row r="36" spans="1:4" ht="15">
      <c r="A36" s="67"/>
      <c r="B36" s="91"/>
      <c r="C36" s="84" t="s">
        <v>31</v>
      </c>
      <c r="D36" s="93">
        <f>SUM(D31:D33)</f>
        <v>0</v>
      </c>
    </row>
    <row r="37" spans="1:4" ht="15">
      <c r="A37" s="67"/>
      <c r="B37" s="91"/>
      <c r="C37" s="80"/>
      <c r="D37" s="91"/>
    </row>
    <row r="38" spans="1:4" ht="15">
      <c r="A38" s="67"/>
      <c r="B38" s="91"/>
      <c r="C38" s="84" t="s">
        <v>32</v>
      </c>
      <c r="D38" s="94">
        <f>D18+D29+D36</f>
        <v>258.41999999999996</v>
      </c>
    </row>
    <row r="39" spans="1:4" ht="15">
      <c r="A39" s="71" t="s">
        <v>19</v>
      </c>
      <c r="B39" s="94">
        <f>ROUNDDOWN(B27-(D18+D23+D27),2)</f>
        <v>1532.93</v>
      </c>
      <c r="C39" s="80"/>
      <c r="D39" s="91"/>
    </row>
    <row r="40" spans="1:4" ht="15">
      <c r="A40" s="67"/>
      <c r="B40" s="91"/>
      <c r="C40" s="80"/>
      <c r="D40" s="91"/>
    </row>
    <row r="41" spans="1:4" ht="15.75" thickBot="1">
      <c r="A41" s="72"/>
      <c r="B41" s="95"/>
      <c r="C41" s="86"/>
      <c r="D41" s="95"/>
    </row>
  </sheetData>
  <mergeCells count="1">
    <mergeCell ref="B1:C1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workbookViewId="0" topLeftCell="IV1">
      <selection activeCell="A1" sqref="A1:IV16384"/>
    </sheetView>
  </sheetViews>
  <sheetFormatPr defaultColWidth="11.421875" defaultRowHeight="12.75"/>
  <cols>
    <col min="1" max="1" width="32.140625" style="4" hidden="1" customWidth="1"/>
    <col min="2" max="2" width="0" style="4" hidden="1" customWidth="1"/>
    <col min="3" max="16384" width="0" style="0" hidden="1" customWidth="1"/>
  </cols>
  <sheetData>
    <row r="3" spans="1:2" ht="12.75">
      <c r="A3" s="9" t="s">
        <v>27</v>
      </c>
      <c r="B3" s="8">
        <v>57.91</v>
      </c>
    </row>
    <row r="4" spans="1:2" ht="12.75">
      <c r="A4" s="6" t="s">
        <v>28</v>
      </c>
      <c r="B4" s="8">
        <v>0.16</v>
      </c>
    </row>
    <row r="5" ht="12.75">
      <c r="B5" s="8"/>
    </row>
    <row r="6" spans="1:3" ht="12.75">
      <c r="A6" s="9" t="s">
        <v>29</v>
      </c>
      <c r="B6" s="25" t="s">
        <v>58</v>
      </c>
      <c r="C6" s="26" t="s">
        <v>59</v>
      </c>
    </row>
    <row r="7" spans="1:3" ht="12.75">
      <c r="A7" s="7" t="s">
        <v>46</v>
      </c>
      <c r="B7" s="8">
        <f>ROUNDUP(C7/12,2)</f>
        <v>336.43</v>
      </c>
      <c r="C7" s="8">
        <v>4037.07</v>
      </c>
    </row>
    <row r="8" spans="1:3" ht="12.75">
      <c r="A8" s="7" t="s">
        <v>47</v>
      </c>
      <c r="B8" s="8">
        <f>ROUNDUP(C8/12,2)</f>
        <v>309.90999999999997</v>
      </c>
      <c r="C8" s="8">
        <v>3718.91</v>
      </c>
    </row>
    <row r="9" spans="1:3" ht="12.75">
      <c r="A9" s="7" t="s">
        <v>48</v>
      </c>
      <c r="B9" s="8">
        <f>ROUNDUP(C9/12,2)</f>
        <v>289.46</v>
      </c>
      <c r="C9" s="8">
        <v>3473.48</v>
      </c>
    </row>
    <row r="11" spans="1:3" ht="12.75">
      <c r="A11" s="9" t="s">
        <v>51</v>
      </c>
      <c r="B11" s="25" t="s">
        <v>58</v>
      </c>
      <c r="C11" s="26" t="s">
        <v>59</v>
      </c>
    </row>
    <row r="12" spans="1:3" ht="12.75">
      <c r="A12" s="7" t="s">
        <v>46</v>
      </c>
      <c r="B12" s="8">
        <f>ROUNDUP(C12/12,2)</f>
        <v>40.98</v>
      </c>
      <c r="C12" s="8">
        <v>491.73</v>
      </c>
    </row>
    <row r="13" spans="1:3" ht="12.75">
      <c r="A13" s="7" t="s">
        <v>52</v>
      </c>
      <c r="B13" s="8">
        <f>ROUNDUP(C13/12,2)</f>
        <v>35.35</v>
      </c>
      <c r="C13" s="8">
        <v>424.14</v>
      </c>
    </row>
    <row r="14" spans="1:3" ht="12.75">
      <c r="A14" s="7" t="s">
        <v>53</v>
      </c>
      <c r="B14" s="8">
        <f>ROUNDUP(C14/12,2)</f>
        <v>29.41</v>
      </c>
      <c r="C14" s="8">
        <v>352.83</v>
      </c>
    </row>
    <row r="18" spans="2:3" ht="12.75">
      <c r="B18" s="8"/>
      <c r="C18" s="4"/>
    </row>
    <row r="19" spans="2:3" ht="12.75">
      <c r="B19" s="8"/>
      <c r="C19" s="4"/>
    </row>
    <row r="20" spans="2:3" ht="12.75">
      <c r="B20" s="8"/>
      <c r="C20" s="4"/>
    </row>
  </sheetData>
  <sheetProtection password="C8E4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IV1">
      <selection activeCell="A1" sqref="A1:IV16384"/>
    </sheetView>
  </sheetViews>
  <sheetFormatPr defaultColWidth="11.421875" defaultRowHeight="12.75"/>
  <cols>
    <col min="1" max="1" width="15.7109375" style="0" hidden="1" customWidth="1"/>
    <col min="2" max="2" width="22.00390625" style="0" hidden="1" customWidth="1"/>
    <col min="3" max="4" width="0" style="0" hidden="1" customWidth="1"/>
    <col min="5" max="5" width="15.00390625" style="0" hidden="1" customWidth="1"/>
    <col min="6" max="16384" width="0" style="0" hidden="1" customWidth="1"/>
  </cols>
  <sheetData>
    <row r="2" spans="1:7" ht="15.75">
      <c r="A2" s="27" t="s">
        <v>62</v>
      </c>
      <c r="B2" s="28"/>
      <c r="C2" s="5">
        <v>4.440391</v>
      </c>
      <c r="E2" s="29" t="s">
        <v>54</v>
      </c>
      <c r="F2" s="29"/>
      <c r="G2" s="4">
        <v>448</v>
      </c>
    </row>
    <row r="4" spans="6:7" ht="12.75">
      <c r="F4" s="30" t="s">
        <v>55</v>
      </c>
      <c r="G4" s="30"/>
    </row>
    <row r="5" spans="6:7" ht="12.75">
      <c r="F5" s="10">
        <v>0</v>
      </c>
      <c r="G5" s="23">
        <v>0</v>
      </c>
    </row>
    <row r="6" spans="1:7" ht="15.75">
      <c r="A6" s="27" t="s">
        <v>60</v>
      </c>
      <c r="B6" s="28"/>
      <c r="C6" s="5">
        <f>53.0196/12</f>
        <v>4.4182999999999995</v>
      </c>
      <c r="F6" s="12">
        <v>1</v>
      </c>
      <c r="G6" s="3">
        <v>2.29</v>
      </c>
    </row>
    <row r="7" spans="6:7" ht="12.75">
      <c r="F7" s="12">
        <v>2</v>
      </c>
      <c r="G7" s="3">
        <f>ROUNDDOWN(10.67+(plancher*point)*3/100,2)</f>
        <v>70.34</v>
      </c>
    </row>
    <row r="8" spans="1:7" ht="12.75">
      <c r="A8" s="1"/>
      <c r="F8" s="12">
        <v>3</v>
      </c>
      <c r="G8" s="3">
        <f>ROUND(15.24+(plancher*point)*8/100,2)</f>
        <v>174.38</v>
      </c>
    </row>
    <row r="9" spans="1:7" ht="15.75">
      <c r="A9" s="27" t="s">
        <v>57</v>
      </c>
      <c r="B9" s="28"/>
      <c r="C9" s="5">
        <f>52.7558/12</f>
        <v>4.396316666666666</v>
      </c>
      <c r="F9" s="12">
        <v>4</v>
      </c>
      <c r="G9" s="3">
        <f aca="true" t="shared" si="0" ref="G9:G15">ROUNDDOWN(G8+4.57+(plancher*point)*6/100,2)</f>
        <v>298.3</v>
      </c>
    </row>
    <row r="10" spans="6:7" ht="12.75">
      <c r="F10" s="12">
        <v>5</v>
      </c>
      <c r="G10" s="3">
        <f t="shared" si="0"/>
        <v>422.22</v>
      </c>
    </row>
    <row r="11" spans="1:7" ht="15.75">
      <c r="A11" s="27" t="s">
        <v>20</v>
      </c>
      <c r="B11" s="28"/>
      <c r="C11" s="5">
        <f>52.4933/12</f>
        <v>4.374441666666667</v>
      </c>
      <c r="F11" s="12">
        <v>6</v>
      </c>
      <c r="G11" s="3">
        <f t="shared" si="0"/>
        <v>546.14</v>
      </c>
    </row>
    <row r="12" spans="6:7" ht="12.75">
      <c r="F12" s="12">
        <v>7</v>
      </c>
      <c r="G12" s="3">
        <f t="shared" si="0"/>
        <v>670.06</v>
      </c>
    </row>
    <row r="13" spans="6:7" ht="12.75">
      <c r="F13" s="12">
        <v>8</v>
      </c>
      <c r="G13" s="3">
        <f t="shared" si="0"/>
        <v>793.98</v>
      </c>
    </row>
    <row r="14" spans="6:7" ht="12.75">
      <c r="F14" s="12">
        <v>9</v>
      </c>
      <c r="G14" s="3">
        <f t="shared" si="0"/>
        <v>917.9</v>
      </c>
    </row>
    <row r="15" spans="6:7" ht="12.75">
      <c r="F15" s="14">
        <v>10</v>
      </c>
      <c r="G15" s="24">
        <f t="shared" si="0"/>
        <v>1041.82</v>
      </c>
    </row>
    <row r="17" spans="6:7" ht="12.75">
      <c r="F17" s="29" t="s">
        <v>56</v>
      </c>
      <c r="G17" s="29"/>
    </row>
    <row r="18" spans="6:7" ht="12.75">
      <c r="F18" s="10">
        <v>0</v>
      </c>
      <c r="G18" s="23">
        <v>0</v>
      </c>
    </row>
    <row r="19" spans="6:7" ht="12.75">
      <c r="F19" s="12">
        <v>1</v>
      </c>
      <c r="G19" s="3">
        <v>2.29</v>
      </c>
    </row>
    <row r="20" spans="6:7" ht="12.75">
      <c r="F20" s="12">
        <v>2</v>
      </c>
      <c r="G20" s="3">
        <f>ROUNDDOWN(10.67+(SAISIE!F5*point)*3/100,2)</f>
        <v>49.3</v>
      </c>
    </row>
    <row r="21" spans="6:7" ht="12.75">
      <c r="F21" s="12">
        <v>3</v>
      </c>
      <c r="G21" s="3">
        <f>ROUNDDOWN(15.24+(SAISIE!F5*point)*8/100,2)</f>
        <v>118.25</v>
      </c>
    </row>
    <row r="22" spans="6:7" ht="12.75">
      <c r="F22" s="12">
        <v>4</v>
      </c>
      <c r="G22" s="3">
        <f>ROUNDDOWN(G21+4.57+(SAISIE!F5*point)*6/100,2)</f>
        <v>200.08</v>
      </c>
    </row>
    <row r="23" spans="6:7" ht="12.75">
      <c r="F23" s="12">
        <v>5</v>
      </c>
      <c r="G23" s="3">
        <f>ROUNDDOWN(G22+4.57+(SAISIE!F5*point)*6/100,2)</f>
        <v>281.91</v>
      </c>
    </row>
    <row r="24" spans="6:7" ht="12.75">
      <c r="F24" s="12">
        <v>6</v>
      </c>
      <c r="G24" s="3">
        <f>ROUNDDOWN(G23+4.57+(SAISIE!F5*point)*6/100,2)</f>
        <v>363.74</v>
      </c>
    </row>
    <row r="25" spans="6:7" ht="12.75">
      <c r="F25" s="12">
        <v>7</v>
      </c>
      <c r="G25" s="3">
        <f>ROUNDDOWN(G24+4.57+(SAISIE!F5*point)*6/100,2)</f>
        <v>445.57</v>
      </c>
    </row>
    <row r="26" spans="6:7" ht="12.75">
      <c r="F26" s="12">
        <v>8</v>
      </c>
      <c r="G26" s="3">
        <f>ROUNDDOWN(G25+4.57+(SAISIE!F5*point)*6/100,2)</f>
        <v>527.4</v>
      </c>
    </row>
    <row r="27" spans="6:7" ht="12.75">
      <c r="F27" s="12">
        <v>9</v>
      </c>
      <c r="G27" s="3">
        <f>ROUNDDOWN(G26+4.57+(SAISIE!F5*point)*6/100,2)</f>
        <v>609.23</v>
      </c>
    </row>
    <row r="28" spans="6:7" ht="12.75">
      <c r="F28" s="14">
        <v>10</v>
      </c>
      <c r="G28" s="24">
        <f>ROUNDDOWN(G27+4.57+(SAISIE!F5*point)*6/100,2)</f>
        <v>691.06</v>
      </c>
    </row>
  </sheetData>
  <sheetProtection password="C8E4" sheet="1" objects="1" scenarios="1"/>
  <mergeCells count="7">
    <mergeCell ref="A11:B11"/>
    <mergeCell ref="E2:F2"/>
    <mergeCell ref="F4:G4"/>
    <mergeCell ref="F17:G17"/>
    <mergeCell ref="A9:B9"/>
    <mergeCell ref="A2:B2"/>
    <mergeCell ref="A6:B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4"/>
  <sheetViews>
    <sheetView workbookViewId="0" topLeftCell="IV1">
      <selection activeCell="A1" sqref="A1:IV16384"/>
    </sheetView>
  </sheetViews>
  <sheetFormatPr defaultColWidth="11.421875" defaultRowHeight="12.75"/>
  <cols>
    <col min="1" max="1" width="0" style="0" hidden="1" customWidth="1"/>
    <col min="2" max="2" width="14.57421875" style="0" hidden="1" customWidth="1"/>
    <col min="3" max="16384" width="0" style="0" hidden="1" customWidth="1"/>
  </cols>
  <sheetData>
    <row r="2" spans="1:5" ht="12.75">
      <c r="A2" s="31" t="s">
        <v>36</v>
      </c>
      <c r="B2" s="31"/>
      <c r="D2" s="29" t="s">
        <v>63</v>
      </c>
      <c r="E2" s="29"/>
    </row>
    <row r="3" spans="1:5" ht="12.75">
      <c r="A3" s="10">
        <v>0</v>
      </c>
      <c r="B3" s="11" t="s">
        <v>63</v>
      </c>
      <c r="D3" s="10">
        <v>1</v>
      </c>
      <c r="E3" s="11">
        <v>290</v>
      </c>
    </row>
    <row r="4" spans="1:5" ht="12.75">
      <c r="A4" s="12">
        <v>1</v>
      </c>
      <c r="B4" s="13" t="s">
        <v>63</v>
      </c>
      <c r="D4" s="12">
        <v>2</v>
      </c>
      <c r="E4" s="13">
        <v>298</v>
      </c>
    </row>
    <row r="5" spans="1:5" ht="12.75">
      <c r="A5" s="12">
        <v>2</v>
      </c>
      <c r="B5" s="13" t="s">
        <v>64</v>
      </c>
      <c r="D5" s="12">
        <v>3</v>
      </c>
      <c r="E5" s="13">
        <v>306</v>
      </c>
    </row>
    <row r="6" spans="1:5" ht="12.75">
      <c r="A6" s="14">
        <v>3</v>
      </c>
      <c r="B6" s="15" t="s">
        <v>65</v>
      </c>
      <c r="D6" s="12">
        <v>4</v>
      </c>
      <c r="E6" s="13">
        <v>317</v>
      </c>
    </row>
    <row r="7" spans="4:5" ht="12.75">
      <c r="D7" s="12">
        <v>5</v>
      </c>
      <c r="E7" s="13">
        <v>324</v>
      </c>
    </row>
    <row r="8" spans="4:5" ht="12.75">
      <c r="D8" s="12">
        <v>6</v>
      </c>
      <c r="E8" s="13">
        <v>335</v>
      </c>
    </row>
    <row r="9" spans="1:5" ht="12.75">
      <c r="A9" s="29" t="s">
        <v>37</v>
      </c>
      <c r="B9" s="29"/>
      <c r="D9" s="12">
        <v>7</v>
      </c>
      <c r="E9" s="13">
        <v>349</v>
      </c>
    </row>
    <row r="10" spans="1:5" ht="12.75">
      <c r="A10" s="10">
        <v>1</v>
      </c>
      <c r="B10" s="17">
        <v>1</v>
      </c>
      <c r="D10" s="12">
        <v>8</v>
      </c>
      <c r="E10" s="13">
        <v>360</v>
      </c>
    </row>
    <row r="11" spans="1:5" ht="12.75">
      <c r="A11" s="12">
        <v>2</v>
      </c>
      <c r="B11" s="18">
        <v>0.9142857142857143</v>
      </c>
      <c r="D11" s="12">
        <v>9</v>
      </c>
      <c r="E11" s="13">
        <v>377</v>
      </c>
    </row>
    <row r="12" spans="1:5" ht="12.75">
      <c r="A12" s="12">
        <v>3</v>
      </c>
      <c r="B12" s="18">
        <v>0.8571428571428571</v>
      </c>
      <c r="D12" s="12">
        <v>10</v>
      </c>
      <c r="E12" s="13">
        <v>394</v>
      </c>
    </row>
    <row r="13" spans="1:5" ht="12.75">
      <c r="A13" s="12">
        <v>4</v>
      </c>
      <c r="B13" s="18">
        <v>0.7</v>
      </c>
      <c r="D13" s="12">
        <v>11</v>
      </c>
      <c r="E13" s="13">
        <v>417</v>
      </c>
    </row>
    <row r="14" spans="1:5" ht="12.75">
      <c r="A14" s="12">
        <v>5</v>
      </c>
      <c r="B14" s="18">
        <v>0.6</v>
      </c>
      <c r="D14" s="12">
        <v>12</v>
      </c>
      <c r="E14" s="13">
        <v>438</v>
      </c>
    </row>
    <row r="15" spans="1:5" ht="12.75">
      <c r="A15" s="14">
        <v>6</v>
      </c>
      <c r="B15" s="19">
        <v>0.5</v>
      </c>
      <c r="D15" s="14">
        <v>13</v>
      </c>
      <c r="E15" s="15">
        <v>462</v>
      </c>
    </row>
    <row r="17" spans="1:5" ht="12.75">
      <c r="A17" s="29" t="s">
        <v>38</v>
      </c>
      <c r="B17" s="29"/>
      <c r="D17" s="29" t="s">
        <v>64</v>
      </c>
      <c r="E17" s="29"/>
    </row>
    <row r="18" spans="1:5" ht="12.75">
      <c r="A18" s="10">
        <v>1</v>
      </c>
      <c r="B18" s="20" t="s">
        <v>39</v>
      </c>
      <c r="D18" s="10">
        <v>1</v>
      </c>
      <c r="E18" s="11">
        <v>351</v>
      </c>
    </row>
    <row r="19" spans="1:5" ht="12.75">
      <c r="A19" s="12">
        <v>2</v>
      </c>
      <c r="B19" s="21" t="s">
        <v>40</v>
      </c>
      <c r="D19" s="12">
        <v>2</v>
      </c>
      <c r="E19" s="13">
        <v>367</v>
      </c>
    </row>
    <row r="20" spans="1:5" ht="12.75">
      <c r="A20" s="12">
        <v>3</v>
      </c>
      <c r="B20" s="21" t="s">
        <v>41</v>
      </c>
      <c r="D20" s="12">
        <v>3</v>
      </c>
      <c r="E20" s="13">
        <v>383</v>
      </c>
    </row>
    <row r="21" spans="1:5" ht="12.75">
      <c r="A21" s="12">
        <v>4</v>
      </c>
      <c r="B21" s="21" t="s">
        <v>42</v>
      </c>
      <c r="D21" s="12">
        <v>4</v>
      </c>
      <c r="E21" s="13">
        <v>404</v>
      </c>
    </row>
    <row r="22" spans="1:5" ht="12.75">
      <c r="A22" s="12">
        <v>5</v>
      </c>
      <c r="B22" s="21" t="s">
        <v>43</v>
      </c>
      <c r="D22" s="12">
        <v>5</v>
      </c>
      <c r="E22" s="13">
        <v>419</v>
      </c>
    </row>
    <row r="23" spans="1:5" ht="12.75">
      <c r="A23" s="14">
        <v>6</v>
      </c>
      <c r="B23" s="22" t="s">
        <v>44</v>
      </c>
      <c r="D23" s="12">
        <v>6</v>
      </c>
      <c r="E23" s="13">
        <v>442</v>
      </c>
    </row>
    <row r="24" spans="4:5" ht="12.75">
      <c r="D24" s="12">
        <v>7</v>
      </c>
      <c r="E24" s="13">
        <v>464</v>
      </c>
    </row>
    <row r="25" spans="4:5" ht="12.75">
      <c r="D25" s="14">
        <v>8</v>
      </c>
      <c r="E25" s="15">
        <v>488</v>
      </c>
    </row>
    <row r="27" spans="4:5" ht="12.75">
      <c r="D27" s="29" t="s">
        <v>45</v>
      </c>
      <c r="E27" s="29"/>
    </row>
    <row r="28" spans="4:5" ht="12.75">
      <c r="D28" s="10">
        <v>1</v>
      </c>
      <c r="E28" s="11">
        <v>376</v>
      </c>
    </row>
    <row r="29" spans="4:5" ht="12.75">
      <c r="D29" s="12">
        <v>2</v>
      </c>
      <c r="E29" s="13">
        <v>396</v>
      </c>
    </row>
    <row r="30" spans="4:5" ht="12.75">
      <c r="D30" s="12">
        <v>3</v>
      </c>
      <c r="E30" s="13">
        <v>420</v>
      </c>
    </row>
    <row r="31" spans="4:5" ht="12.75">
      <c r="D31" s="12">
        <v>4</v>
      </c>
      <c r="E31" s="13">
        <v>444</v>
      </c>
    </row>
    <row r="32" spans="4:5" ht="12.75">
      <c r="D32" s="12">
        <v>5</v>
      </c>
      <c r="E32" s="13">
        <v>466</v>
      </c>
    </row>
    <row r="33" spans="4:5" ht="12.75">
      <c r="D33" s="12">
        <v>6</v>
      </c>
      <c r="E33" s="13">
        <v>489</v>
      </c>
    </row>
    <row r="34" spans="4:5" ht="12.75">
      <c r="D34" s="14">
        <v>7</v>
      </c>
      <c r="E34" s="15">
        <v>513</v>
      </c>
    </row>
  </sheetData>
  <sheetProtection password="C8E4" sheet="1" objects="1" scenarios="1"/>
  <mergeCells count="6">
    <mergeCell ref="D27:E27"/>
    <mergeCell ref="A2:B2"/>
    <mergeCell ref="D2:E2"/>
    <mergeCell ref="D17:E17"/>
    <mergeCell ref="A9:B9"/>
    <mergeCell ref="A17:B1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per2</dc:creator>
  <cp:keywords/>
  <dc:description/>
  <cp:lastModifiedBy>DGCP</cp:lastModifiedBy>
  <cp:lastPrinted>2005-05-30T12:42:38Z</cp:lastPrinted>
  <dcterms:created xsi:type="dcterms:W3CDTF">2000-09-29T08:42:30Z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